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comments3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2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vcl0-my.sharepoint.com/personal/isaac_garcia_uv_cl/Documents/IEGC/Grants applications/FONDEQUIP MEDIANO ANID/FONDEQUIP MED 2025/"/>
    </mc:Choice>
  </mc:AlternateContent>
  <xr:revisionPtr revIDLastSave="208" documentId="13_ncr:1_{C037BCCE-6B6A-4290-A0F1-FB34A1C14167}" xr6:coauthVersionLast="47" xr6:coauthVersionMax="47" xr10:uidLastSave="{538F7470-CF57-2A4A-A0EB-CE1E6475FA30}"/>
  <bookViews>
    <workbookView xWindow="0" yWindow="740" windowWidth="29400" windowHeight="16960" tabRatio="700" firstSheet="1" activeTab="3" xr2:uid="{00000000-000D-0000-FFFF-FFFF00000000}"/>
  </bookViews>
  <sheets>
    <sheet name="INSTRUCCIONES" sheetId="4" r:id="rId1"/>
    <sheet name="COTIZACIONES" sheetId="5" r:id="rId2"/>
    <sheet name="I.- EQUIPAMIENTO" sheetId="2" r:id="rId3"/>
    <sheet name="II TRASLADOS , INST. OPERACION" sheetId="3" r:id="rId4"/>
    <sheet name="DETALLE APORTES" sheetId="13" r:id="rId5"/>
    <sheet name="III.- PRESUPUESTO FINAL" sheetId="1" r:id="rId6"/>
    <sheet name="DETALLE PRESUPUESTO" sheetId="14" r:id="rId7"/>
    <sheet name="PRESUPUESTO MODIFICADO" sheetId="10" state="hidden" r:id="rId8"/>
    <sheet name="SALDOS " sheetId="9" state="hidden" r:id="rId9"/>
    <sheet name="USO INT. DESGLOSE FACTURAS" sheetId="11" state="hidden" r:id="rId10"/>
  </sheets>
  <definedNames>
    <definedName name="_xlnm.Print_Area" localSheetId="1">COTIZACIONES!$A$1:$M$25</definedName>
    <definedName name="_xlnm.Print_Area" localSheetId="4">'DETALLE APORTES'!$A$1:$P$17</definedName>
    <definedName name="_xlnm.Print_Area" localSheetId="6">'DETALLE PRESUPUESTO'!$A$1:$E$11</definedName>
    <definedName name="_xlnm.Print_Area" localSheetId="2">'I.- EQUIPAMIENTO'!$B$1:$F$27</definedName>
    <definedName name="_xlnm.Print_Area" localSheetId="5">'III.- PRESUPUESTO FINAL'!$B$1:$J$17</definedName>
    <definedName name="_xlnm.Print_Area" localSheetId="7">'PRESUPUESTO MODIFICADO'!$A$2:$P$30</definedName>
    <definedName name="_xlnm.Print_Area" localSheetId="8">'SALDOS '!$A$2:$Q$29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2" l="1"/>
  <c r="G12" i="3"/>
  <c r="G11" i="3"/>
  <c r="G10" i="3"/>
  <c r="E8" i="3"/>
  <c r="E7" i="3"/>
  <c r="F11" i="13"/>
  <c r="F10" i="13"/>
  <c r="F12" i="13"/>
  <c r="F13" i="13"/>
  <c r="F14" i="13"/>
  <c r="F15" i="13"/>
  <c r="E10" i="13"/>
  <c r="E14" i="13"/>
  <c r="E15" i="13"/>
  <c r="I26" i="9" l="1"/>
  <c r="E13" i="13"/>
  <c r="F14" i="3" s="1"/>
  <c r="G12" i="13"/>
  <c r="E12" i="13" s="1"/>
  <c r="G11" i="13"/>
  <c r="E11" i="13" s="1"/>
  <c r="G9" i="13"/>
  <c r="E9" i="13" s="1"/>
  <c r="G8" i="13"/>
  <c r="E8" i="13" s="1"/>
  <c r="F8" i="3" s="1"/>
  <c r="G7" i="13"/>
  <c r="E7" i="13" s="1"/>
  <c r="C10" i="14"/>
  <c r="C9" i="14"/>
  <c r="C8" i="14"/>
  <c r="C6" i="14"/>
  <c r="C5" i="14"/>
  <c r="C4" i="14"/>
  <c r="C3" i="14"/>
  <c r="H23" i="5" l="1"/>
  <c r="H22" i="5"/>
  <c r="H21" i="5"/>
  <c r="H20" i="5"/>
  <c r="H19" i="5"/>
  <c r="H15" i="5"/>
  <c r="H16" i="5"/>
  <c r="H17" i="5"/>
  <c r="H18" i="5"/>
  <c r="L15" i="9" l="1"/>
  <c r="L16" i="9"/>
  <c r="I8" i="9"/>
  <c r="I11" i="9"/>
  <c r="I12" i="9"/>
  <c r="S8" i="11"/>
  <c r="T6" i="11"/>
  <c r="L10" i="9" s="1"/>
  <c r="S5" i="11"/>
  <c r="I9" i="9" s="1"/>
  <c r="T5" i="11"/>
  <c r="L9" i="9" s="1"/>
  <c r="S6" i="11"/>
  <c r="I10" i="9" s="1"/>
  <c r="S7" i="11"/>
  <c r="T7" i="11"/>
  <c r="L11" i="9" s="1"/>
  <c r="T8" i="11"/>
  <c r="L12" i="9" s="1"/>
  <c r="S9" i="11"/>
  <c r="I13" i="9" s="1"/>
  <c r="T9" i="11"/>
  <c r="L13" i="9" s="1"/>
  <c r="S10" i="11"/>
  <c r="T10" i="11"/>
  <c r="L14" i="9" s="1"/>
  <c r="T4" i="11"/>
  <c r="L8" i="9" s="1"/>
  <c r="S4" i="11"/>
  <c r="Q20" i="11"/>
  <c r="P20" i="11"/>
  <c r="Q19" i="11"/>
  <c r="P19" i="11"/>
  <c r="Q18" i="11"/>
  <c r="P18" i="11"/>
  <c r="Q17" i="11"/>
  <c r="P17" i="11"/>
  <c r="Q16" i="11"/>
  <c r="P16" i="11"/>
  <c r="Q15" i="11"/>
  <c r="P15" i="11"/>
  <c r="Q14" i="11"/>
  <c r="P14" i="11"/>
  <c r="Q11" i="11"/>
  <c r="P11" i="11"/>
  <c r="L20" i="11"/>
  <c r="K20" i="11"/>
  <c r="L19" i="11"/>
  <c r="K19" i="11"/>
  <c r="L18" i="11"/>
  <c r="K18" i="11"/>
  <c r="L17" i="11"/>
  <c r="K17" i="11"/>
  <c r="L16" i="11"/>
  <c r="K16" i="11"/>
  <c r="L15" i="11"/>
  <c r="K15" i="11"/>
  <c r="L14" i="11"/>
  <c r="K14" i="11"/>
  <c r="L11" i="11"/>
  <c r="K11" i="11"/>
  <c r="N20" i="11"/>
  <c r="N19" i="11"/>
  <c r="N18" i="11"/>
  <c r="N17" i="11"/>
  <c r="N16" i="11"/>
  <c r="N15" i="11"/>
  <c r="N14" i="11"/>
  <c r="N11" i="11"/>
  <c r="O10" i="11"/>
  <c r="O20" i="11" s="1"/>
  <c r="O9" i="11"/>
  <c r="O19" i="11" s="1"/>
  <c r="O8" i="11"/>
  <c r="O18" i="11" s="1"/>
  <c r="O7" i="11"/>
  <c r="O17" i="11" s="1"/>
  <c r="O6" i="11"/>
  <c r="O16" i="11" s="1"/>
  <c r="O5" i="11"/>
  <c r="O15" i="11" s="1"/>
  <c r="O4" i="11"/>
  <c r="O14" i="11" s="1"/>
  <c r="D5" i="11"/>
  <c r="L21" i="11" l="1"/>
  <c r="N21" i="11"/>
  <c r="P21" i="11"/>
  <c r="O11" i="11"/>
  <c r="Q21" i="11"/>
  <c r="K21" i="11"/>
  <c r="O21" i="11"/>
  <c r="T14" i="11"/>
  <c r="S14" i="11"/>
  <c r="I14" i="11"/>
  <c r="F14" i="11"/>
  <c r="F7" i="3"/>
  <c r="I12" i="3" l="1"/>
  <c r="F15" i="11" l="1"/>
  <c r="I15" i="11"/>
  <c r="S15" i="11"/>
  <c r="T15" i="11"/>
  <c r="F16" i="11"/>
  <c r="F21" i="11" s="1"/>
  <c r="I16" i="11"/>
  <c r="S16" i="11"/>
  <c r="T16" i="11"/>
  <c r="F17" i="11"/>
  <c r="I17" i="11"/>
  <c r="S17" i="11"/>
  <c r="T17" i="11"/>
  <c r="F18" i="11"/>
  <c r="I18" i="11"/>
  <c r="S18" i="11"/>
  <c r="T18" i="11"/>
  <c r="F19" i="11"/>
  <c r="I19" i="11"/>
  <c r="S19" i="11"/>
  <c r="T19" i="11"/>
  <c r="F20" i="11"/>
  <c r="I20" i="11"/>
  <c r="S20" i="11"/>
  <c r="T20" i="11"/>
  <c r="C15" i="11"/>
  <c r="C16" i="11"/>
  <c r="C17" i="11"/>
  <c r="C18" i="11"/>
  <c r="C19" i="11"/>
  <c r="C20" i="11"/>
  <c r="C14" i="11"/>
  <c r="I21" i="11" l="1"/>
  <c r="T21" i="11"/>
  <c r="S21" i="11"/>
  <c r="C21" i="11"/>
  <c r="G16" i="13"/>
  <c r="R16" i="13" l="1"/>
  <c r="Q16" i="13"/>
  <c r="F15" i="9" l="1"/>
  <c r="F15" i="10"/>
  <c r="I14" i="1" l="1"/>
  <c r="N15" i="10" s="1"/>
  <c r="P15" i="10" s="1"/>
  <c r="N15" i="9" s="1"/>
  <c r="I15" i="1"/>
  <c r="H14" i="1"/>
  <c r="K15" i="10" s="1"/>
  <c r="M15" i="10" s="1"/>
  <c r="K15" i="9" s="1"/>
  <c r="M15" i="9" s="1"/>
  <c r="H15" i="1"/>
  <c r="E15" i="9" l="1"/>
  <c r="P15" i="9"/>
  <c r="G15" i="9" s="1"/>
  <c r="E15" i="10"/>
  <c r="G15" i="10" s="1"/>
  <c r="F14" i="1"/>
  <c r="H16" i="13"/>
  <c r="J16" i="13"/>
  <c r="L16" i="13"/>
  <c r="N16" i="13"/>
  <c r="P16" i="13"/>
  <c r="F16" i="13"/>
  <c r="M16" i="13"/>
  <c r="K16" i="13"/>
  <c r="D9" i="14" l="1"/>
  <c r="I16" i="13"/>
  <c r="O16" i="13"/>
  <c r="J5" i="11"/>
  <c r="J15" i="11" s="1"/>
  <c r="J6" i="11"/>
  <c r="J16" i="11" s="1"/>
  <c r="J7" i="11"/>
  <c r="J17" i="11" s="1"/>
  <c r="J8" i="11"/>
  <c r="J18" i="11" s="1"/>
  <c r="J9" i="11"/>
  <c r="J19" i="11" s="1"/>
  <c r="J10" i="11"/>
  <c r="J20" i="11" s="1"/>
  <c r="G5" i="11"/>
  <c r="G15" i="11" s="1"/>
  <c r="G6" i="11"/>
  <c r="G16" i="11" s="1"/>
  <c r="G7" i="11"/>
  <c r="G17" i="11" s="1"/>
  <c r="G8" i="11"/>
  <c r="G18" i="11" s="1"/>
  <c r="G9" i="11"/>
  <c r="G19" i="11" s="1"/>
  <c r="G10" i="11"/>
  <c r="G20" i="11" s="1"/>
  <c r="P8" i="2"/>
  <c r="E23" i="2" s="1"/>
  <c r="M7" i="2"/>
  <c r="U5" i="11" l="1"/>
  <c r="U15" i="11" s="1"/>
  <c r="U6" i="11"/>
  <c r="U16" i="11" s="1"/>
  <c r="U7" i="11"/>
  <c r="U17" i="11" s="1"/>
  <c r="U8" i="11"/>
  <c r="U18" i="11" s="1"/>
  <c r="U9" i="11"/>
  <c r="U19" i="11" s="1"/>
  <c r="U10" i="11"/>
  <c r="U20" i="11" s="1"/>
  <c r="U4" i="11"/>
  <c r="U14" i="11" s="1"/>
  <c r="U21" i="11" l="1"/>
  <c r="J4" i="11"/>
  <c r="J14" i="11" s="1"/>
  <c r="J21" i="11" s="1"/>
  <c r="J11" i="11"/>
  <c r="G4" i="11"/>
  <c r="G14" i="11" s="1"/>
  <c r="G21" i="11" s="1"/>
  <c r="G11" i="11"/>
  <c r="K16" i="10"/>
  <c r="H13" i="1"/>
  <c r="S11" i="11"/>
  <c r="T11" i="11"/>
  <c r="U11" i="11"/>
  <c r="I11" i="11"/>
  <c r="F11" i="11"/>
  <c r="C11" i="11"/>
  <c r="D15" i="11"/>
  <c r="D6" i="11"/>
  <c r="D16" i="11" s="1"/>
  <c r="D7" i="11"/>
  <c r="D17" i="11" s="1"/>
  <c r="D8" i="11"/>
  <c r="D18" i="11" s="1"/>
  <c r="D9" i="11"/>
  <c r="D19" i="11" s="1"/>
  <c r="D10" i="11"/>
  <c r="D20" i="11" s="1"/>
  <c r="D4" i="11"/>
  <c r="D14" i="11" s="1"/>
  <c r="N6" i="2"/>
  <c r="E22" i="2" s="1"/>
  <c r="M6" i="2"/>
  <c r="O6" i="2" s="1"/>
  <c r="H24" i="5"/>
  <c r="I24" i="5" s="1"/>
  <c r="H9" i="5"/>
  <c r="I9" i="5" s="1"/>
  <c r="H14" i="5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O7" i="10"/>
  <c r="L7" i="10"/>
  <c r="I7" i="10"/>
  <c r="I21" i="9"/>
  <c r="I20" i="9"/>
  <c r="I22" i="9" s="1"/>
  <c r="F13" i="9"/>
  <c r="F8" i="10"/>
  <c r="F17" i="10" s="1"/>
  <c r="F9" i="10"/>
  <c r="F10" i="10"/>
  <c r="F11" i="10"/>
  <c r="F12" i="10"/>
  <c r="F13" i="10"/>
  <c r="F14" i="10"/>
  <c r="F16" i="10"/>
  <c r="H9" i="1"/>
  <c r="K10" i="10" s="1"/>
  <c r="M10" i="10" s="1"/>
  <c r="K10" i="9" s="1"/>
  <c r="M10" i="9" s="1"/>
  <c r="H10" i="1"/>
  <c r="K11" i="10" s="1"/>
  <c r="M11" i="10" s="1"/>
  <c r="K11" i="9" s="1"/>
  <c r="M11" i="9" s="1"/>
  <c r="H11" i="1"/>
  <c r="K12" i="10" s="1"/>
  <c r="M12" i="10" s="1"/>
  <c r="K12" i="9" s="1"/>
  <c r="M12" i="9" s="1"/>
  <c r="H12" i="1"/>
  <c r="K13" i="10" s="1"/>
  <c r="M13" i="10" s="1"/>
  <c r="K13" i="9" s="1"/>
  <c r="M13" i="9" s="1"/>
  <c r="J20" i="10"/>
  <c r="O17" i="10"/>
  <c r="L17" i="10"/>
  <c r="I17" i="10"/>
  <c r="I17" i="9"/>
  <c r="L17" i="9"/>
  <c r="I27" i="9" s="1"/>
  <c r="O17" i="9"/>
  <c r="I28" i="9"/>
  <c r="F16" i="9"/>
  <c r="F14" i="9"/>
  <c r="F12" i="9"/>
  <c r="F11" i="9"/>
  <c r="F10" i="9"/>
  <c r="F9" i="9"/>
  <c r="F8" i="9"/>
  <c r="I13" i="1"/>
  <c r="N14" i="10" s="1"/>
  <c r="P14" i="10" s="1"/>
  <c r="N14" i="9" s="1"/>
  <c r="P14" i="9" s="1"/>
  <c r="H10" i="5"/>
  <c r="I10" i="5" s="1"/>
  <c r="G23" i="3"/>
  <c r="P18" i="3"/>
  <c r="I12" i="1"/>
  <c r="N13" i="10" s="1"/>
  <c r="P13" i="10" s="1"/>
  <c r="N13" i="9" s="1"/>
  <c r="P13" i="9" s="1"/>
  <c r="G11" i="1"/>
  <c r="H12" i="10" s="1"/>
  <c r="G10" i="1"/>
  <c r="E25" i="3"/>
  <c r="F25" i="3" s="1"/>
  <c r="N16" i="10"/>
  <c r="P16" i="10" s="1"/>
  <c r="N16" i="9" s="1"/>
  <c r="P16" i="9" s="1"/>
  <c r="I11" i="1"/>
  <c r="I10" i="1"/>
  <c r="G12" i="1"/>
  <c r="H13" i="10" s="1"/>
  <c r="J13" i="10" s="1"/>
  <c r="H13" i="9" s="1"/>
  <c r="P6" i="2" l="1"/>
  <c r="I29" i="9"/>
  <c r="F17" i="9"/>
  <c r="I25" i="9"/>
  <c r="J26" i="9" s="1"/>
  <c r="K26" i="9" s="1"/>
  <c r="D22" i="2"/>
  <c r="D21" i="11"/>
  <c r="D11" i="11"/>
  <c r="H16" i="2"/>
  <c r="E25" i="2" s="1"/>
  <c r="H9" i="2"/>
  <c r="N11" i="10"/>
  <c r="P11" i="10" s="1"/>
  <c r="H7" i="1"/>
  <c r="K8" i="10" s="1"/>
  <c r="M8" i="10" s="1"/>
  <c r="H8" i="1"/>
  <c r="K9" i="10" s="1"/>
  <c r="M9" i="10" s="1"/>
  <c r="K9" i="9" s="1"/>
  <c r="M9" i="9" s="1"/>
  <c r="G8" i="1"/>
  <c r="E26" i="3"/>
  <c r="E23" i="3"/>
  <c r="E18" i="3" s="1"/>
  <c r="N12" i="10"/>
  <c r="P12" i="10" s="1"/>
  <c r="N12" i="9" s="1"/>
  <c r="P12" i="9" s="1"/>
  <c r="G7" i="1"/>
  <c r="J12" i="10"/>
  <c r="H12" i="9" s="1"/>
  <c r="F11" i="1"/>
  <c r="K11" i="1"/>
  <c r="F12" i="1"/>
  <c r="E13" i="10"/>
  <c r="G13" i="10" s="1"/>
  <c r="J13" i="9"/>
  <c r="G13" i="9" s="1"/>
  <c r="E13" i="9"/>
  <c r="F10" i="1"/>
  <c r="H11" i="10"/>
  <c r="J11" i="10" s="1"/>
  <c r="H11" i="9" s="1"/>
  <c r="J11" i="9" s="1"/>
  <c r="F23" i="3"/>
  <c r="E27" i="3" s="1"/>
  <c r="K14" i="10"/>
  <c r="R14" i="10" s="1"/>
  <c r="F13" i="1"/>
  <c r="E16" i="10"/>
  <c r="G16" i="10" s="1"/>
  <c r="M16" i="10"/>
  <c r="K16" i="9" s="1"/>
  <c r="F15" i="1"/>
  <c r="K13" i="1"/>
  <c r="D8" i="14" l="1"/>
  <c r="D10" i="14"/>
  <c r="D6" i="14"/>
  <c r="D4" i="14"/>
  <c r="D5" i="14"/>
  <c r="J28" i="9"/>
  <c r="J27" i="9"/>
  <c r="J29" i="9"/>
  <c r="K29" i="9" s="1"/>
  <c r="F8" i="1"/>
  <c r="E16" i="13"/>
  <c r="H9" i="10"/>
  <c r="E9" i="10" s="1"/>
  <c r="G9" i="10" s="1"/>
  <c r="Q18" i="3"/>
  <c r="N17" i="10"/>
  <c r="F27" i="3"/>
  <c r="E31" i="3"/>
  <c r="G9" i="1"/>
  <c r="G16" i="1" s="1"/>
  <c r="E12" i="10"/>
  <c r="G12" i="10" s="1"/>
  <c r="E14" i="10"/>
  <c r="G14" i="10" s="1"/>
  <c r="M14" i="10"/>
  <c r="M17" i="10" s="1"/>
  <c r="J28" i="10" s="1"/>
  <c r="K17" i="10"/>
  <c r="K8" i="9"/>
  <c r="M8" i="9" s="1"/>
  <c r="H8" i="10"/>
  <c r="E8" i="10" s="1"/>
  <c r="G8" i="10" s="1"/>
  <c r="F7" i="1"/>
  <c r="E11" i="10"/>
  <c r="G11" i="10" s="1"/>
  <c r="E12" i="9"/>
  <c r="J12" i="9"/>
  <c r="G12" i="9" s="1"/>
  <c r="P17" i="10"/>
  <c r="J29" i="10" s="1"/>
  <c r="R12" i="10"/>
  <c r="N11" i="9"/>
  <c r="D18" i="3"/>
  <c r="E16" i="9"/>
  <c r="M16" i="9"/>
  <c r="G16" i="9" s="1"/>
  <c r="J27" i="10" l="1"/>
  <c r="H25" i="2"/>
  <c r="C25" i="2"/>
  <c r="J26" i="10"/>
  <c r="D23" i="2"/>
  <c r="I16" i="1"/>
  <c r="J9" i="10"/>
  <c r="H9" i="9" s="1"/>
  <c r="E9" i="9" s="1"/>
  <c r="K14" i="9"/>
  <c r="M14" i="9" s="1"/>
  <c r="F9" i="1"/>
  <c r="D3" i="14" s="1"/>
  <c r="H10" i="10"/>
  <c r="H17" i="10" s="1"/>
  <c r="J8" i="10"/>
  <c r="J30" i="10"/>
  <c r="N17" i="9"/>
  <c r="P11" i="9"/>
  <c r="E11" i="9"/>
  <c r="F16" i="1" l="1"/>
  <c r="K30" i="2"/>
  <c r="R14" i="9"/>
  <c r="J9" i="9"/>
  <c r="G9" i="9" s="1"/>
  <c r="K29" i="10"/>
  <c r="E14" i="9"/>
  <c r="K17" i="9"/>
  <c r="E10" i="10"/>
  <c r="J10" i="10"/>
  <c r="J17" i="10" s="1"/>
  <c r="H8" i="9"/>
  <c r="J8" i="9" s="1"/>
  <c r="G8" i="9" s="1"/>
  <c r="J21" i="10"/>
  <c r="P17" i="9"/>
  <c r="R12" i="9"/>
  <c r="G11" i="9"/>
  <c r="G14" i="9"/>
  <c r="M17" i="9"/>
  <c r="K27" i="10" l="1"/>
  <c r="L27" i="10" s="1"/>
  <c r="K28" i="10"/>
  <c r="K30" i="10"/>
  <c r="L30" i="10" s="1"/>
  <c r="H10" i="9"/>
  <c r="H17" i="9" s="1"/>
  <c r="J22" i="10"/>
  <c r="J23" i="10" s="1"/>
  <c r="G10" i="10"/>
  <c r="G17" i="10" s="1"/>
  <c r="E17" i="10"/>
  <c r="E8" i="9"/>
  <c r="J10" i="9" l="1"/>
  <c r="E10" i="9"/>
  <c r="E17" i="9" s="1"/>
  <c r="G10" i="9" l="1"/>
  <c r="G17" i="9" s="1"/>
  <c r="J17" i="9"/>
  <c r="E29" i="3"/>
  <c r="F18" i="3" l="1"/>
  <c r="R18" i="3" s="1"/>
  <c r="G18" i="3"/>
  <c r="S18" i="3" s="1"/>
  <c r="H16" i="1"/>
  <c r="F30" i="3"/>
  <c r="E32" i="3"/>
  <c r="F29" i="3"/>
  <c r="D25" i="2"/>
  <c r="E30" i="3" l="1"/>
  <c r="F31" i="3" s="1"/>
  <c r="T1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Roxany Barahona Ligueno</author>
  </authors>
  <commentList>
    <comment ref="J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Especificar Otra Moneda utilizada en la cotización.-</t>
        </r>
      </text>
    </comment>
    <comment ref="J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Indicar Tipo de Cambio utilizado con Otra Moneda.-</t>
        </r>
      </text>
    </comment>
    <comment ref="G8" authorId="0" shapeId="0" xr:uid="{00000000-0006-0000-0100-000003000000}">
      <text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Seleccionar la Moneda utilizada en la Cotización.-</t>
        </r>
      </text>
    </comment>
    <comment ref="G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
Seleccionar la Moneda utilizada en la Cotización.-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tc={FFB68F36-F801-4D62-A82B-9C0B1F300FD0}</author>
    <author>tc={CFDC694D-FA57-41CD-AA91-C158D61D1085}</author>
    <author>tc={7A06E5D3-48F6-446D-A1B4-7DE04DC08036}</author>
    <author>tc={1E335CB1-C5DF-404D-8E85-A58A1F765AB5}</author>
    <author>tc={4BC0FAC7-1A11-47F4-86E4-C85204E60A11}</author>
    <author>tc={96ECC16E-219F-49E8-9894-BEBA0192A11B}</author>
    <author>tc={4A8BB480-A2EE-4798-8664-5FE64E4CDEA7}</author>
    <author>tc={C0951B4A-D909-443B-8AE2-D6C3E9AB7233}</author>
    <author>tc={DBBCB07C-8BDA-467D-8523-CC3F49F04FAA}</author>
    <author>tc={54391F92-2FB1-BF48-AC86-5FCA10A27ABB}</author>
    <author>tc={0A8C0AC1-0DD2-4B6E-9C5C-42CB64BD6667}</author>
  </authors>
  <commentList>
    <comment ref="F7" authorId="0" shapeId="0" xr:uid="{FFB68F36-F801-4D62-A82B-9C0B1F300FD0}">
      <text>
        <t>[Threaded comment]
Your version of Excel allows you to read this threaded comment; however, any edits to it will get removed if the file is opened in a newer version of Excel. Learn more: https://go.microsoft.com/fwlink/?linkid=870924
Comment:
    Monto ingresado en Hoja DETALLE APORTES.-</t>
      </text>
    </comment>
    <comment ref="F8" authorId="1" shapeId="0" xr:uid="{CFDC694D-FA57-41CD-AA91-C158D61D1085}">
      <text>
        <t>[Threaded comment]
Your version of Excel allows you to read this threaded comment; however, any edits to it will get removed if the file is opened in a newer version of Excel. Learn more: https://go.microsoft.com/fwlink/?linkid=870924
Comment:
    Monto ingresado en Hoja DETALLE APORTES.-</t>
      </text>
    </comment>
    <comment ref="G10" authorId="2" shapeId="0" xr:uid="{7A06E5D3-48F6-446D-A1B4-7DE04DC08036}">
      <text>
        <t>[Threaded comment]
Your version of Excel allows you to read this threaded comment; however, any edits to it will get removed if the file is opened in a newer version of Excel. Learn more: https://go.microsoft.com/fwlink/?linkid=870924
Comment:
    Monto ingresado en Hoja DETALLE APORTES.-</t>
      </text>
    </comment>
    <comment ref="G11" authorId="3" shapeId="0" xr:uid="{1E335CB1-C5DF-404D-8E85-A58A1F765AB5}">
      <text>
        <t>[Threaded comment]
Your version of Excel allows you to read this threaded comment; however, any edits to it will get removed if the file is opened in a newer version of Excel. Learn more: https://go.microsoft.com/fwlink/?linkid=870924
Comment:
    Monto ingresado en Hoja DETALLE APORTES.-</t>
      </text>
    </comment>
    <comment ref="G12" authorId="4" shapeId="0" xr:uid="{4BC0FAC7-1A11-47F4-86E4-C85204E60A11}">
      <text>
        <t>[Threaded comment]
Your version of Excel allows you to read this threaded comment; however, any edits to it will get removed if the file is opened in a newer version of Excel. Learn more: https://go.microsoft.com/fwlink/?linkid=870924
Comment:
    Monto ingresado en Hoja DETALLE APORTES.-</t>
      </text>
    </comment>
    <comment ref="F14" authorId="5" shapeId="0" xr:uid="{96ECC16E-219F-49E8-9894-BEBA0192A11B}">
      <text>
        <t>[Threaded comment]
Your version of Excel allows you to read this threaded comment; however, any edits to it will get removed if the file is opened in a newer version of Excel. Learn more: https://go.microsoft.com/fwlink/?linkid=870924
Comment:
    Monto ingresado en Hoja DETALLE APORTES.-</t>
      </text>
    </comment>
    <comment ref="G14" authorId="6" shapeId="0" xr:uid="{4A8BB480-A2EE-4798-8664-5FE64E4CDEA7}">
      <text>
        <t>[Threaded comment]
Your version of Excel allows you to read this threaded comment; however, any edits to it will get removed if the file is opened in a newer version of Excel. Learn more: https://go.microsoft.com/fwlink/?linkid=870924
Comment:
    Monto ingresado en Hoja DETALLE APORTES.-</t>
      </text>
    </comment>
    <comment ref="F15" authorId="7" shapeId="0" xr:uid="{C0951B4A-D909-443B-8AE2-D6C3E9AB7233}">
      <text>
        <t>[Threaded comment]
Your version of Excel allows you to read this threaded comment; however, any edits to it will get removed if the file is opened in a newer version of Excel. Learn more: https://go.microsoft.com/fwlink/?linkid=870924
Comment:
    Monto ingresado en Hoja DETALLE APORTES.-</t>
      </text>
    </comment>
    <comment ref="G15" authorId="8" shapeId="0" xr:uid="{DBBCB07C-8BDA-467D-8523-CC3F49F04FAA}">
      <text>
        <t>[Threaded comment]
Your version of Excel allows you to read this threaded comment; however, any edits to it will get removed if the file is opened in a newer version of Excel. Learn more: https://go.microsoft.com/fwlink/?linkid=870924
Comment:
    Monto ingresado en Hoja DETALLE APORTES.-</t>
      </text>
    </comment>
    <comment ref="F16" authorId="9" shapeId="0" xr:uid="{54391F92-2FB1-BF48-AC86-5FCA10A27ABB}">
      <text>
        <t>[Threaded comment]
Your version of Excel allows you to read this threaded comment; however, any edits to it will get removed if the file is opened in a newer version of Excel. Learn more: https://go.microsoft.com/fwlink/?linkid=870924
Comment:
    Monto ingresado en Hoja DETALLE APORTES.-</t>
      </text>
    </comment>
    <comment ref="G16" authorId="10" shapeId="0" xr:uid="{0A8C0AC1-0DD2-4B6E-9C5C-42CB64BD6667}">
      <text>
        <t>[Threaded comment]
Your version of Excel allows you to read this threaded comment; however, any edits to it will get removed if the file is opened in a newer version of Excel. Learn more: https://go.microsoft.com/fwlink/?linkid=870924
Comment:
    Monto ingresado en Hoja DETALLE APORTES.-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Roxany Barahona Ligueno</author>
    <author>tc={7EDE5B45-7AC8-47F5-8264-9120E8EC5946}</author>
    <author>tc={89C33586-7617-41A9-9927-C3EEF1703468}</author>
    <author>tc={75B59B58-F912-4988-80D5-555831CC8556}</author>
    <author>tc={F6ED456A-0283-4CCC-9F94-F10A9C4FB954}</author>
    <author>tc={BF38B127-74C0-45FF-8532-13088784B80B}</author>
    <author>tc={8FFC5D1E-1884-40B0-B0C2-9C506B913365}</author>
  </authors>
  <commentList>
    <comment ref="I5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Nombre de la Institución Asociada.-
</t>
        </r>
      </text>
    </comment>
    <comment ref="K5" authorId="0" shapeId="0" xr:uid="{00000000-0006-0000-0400-000002000000}">
      <text>
        <r>
          <rPr>
            <sz val="9"/>
            <color indexed="81"/>
            <rFont val="Tahoma"/>
            <family val="2"/>
          </rPr>
          <t xml:space="preserve">Nombre de la Institución Asociada.-
</t>
        </r>
      </text>
    </comment>
    <comment ref="M5" authorId="0" shapeId="0" xr:uid="{00000000-0006-0000-0400-000003000000}">
      <text>
        <r>
          <rPr>
            <sz val="9"/>
            <color indexed="81"/>
            <rFont val="Tahoma"/>
            <family val="2"/>
          </rPr>
          <t xml:space="preserve">Nombre de la Institución Asociada.-
</t>
        </r>
      </text>
    </comment>
    <comment ref="O5" authorId="0" shapeId="0" xr:uid="{00000000-0006-0000-0400-000004000000}">
      <text>
        <r>
          <rPr>
            <sz val="9"/>
            <color indexed="81"/>
            <rFont val="Tahoma"/>
            <family val="2"/>
          </rPr>
          <t xml:space="preserve">Nombre de la Institución Asociada.-
</t>
        </r>
      </text>
    </comment>
    <comment ref="Q5" authorId="0" shapeId="0" xr:uid="{00000000-0006-0000-0400-000005000000}">
      <text>
        <r>
          <rPr>
            <sz val="9"/>
            <color indexed="81"/>
            <rFont val="Tahoma"/>
            <family val="2"/>
          </rPr>
          <t xml:space="preserve">Nombre de la Institución Asociada.-
</t>
        </r>
      </text>
    </comment>
    <comment ref="G7" authorId="1" shapeId="0" xr:uid="{7EDE5B45-7AC8-47F5-8264-9120E8EC5946}">
      <text>
        <t>[Threaded comment]
Your version of Excel allows you to read this threaded comment; however, any edits to it will get removed if the file is opened in a newer version of Excel. Learn more: https://go.microsoft.com/fwlink/?linkid=870924
Comment:
    Puede modificar el monto en caso de que este aporte esté distribuido en distintas instituciones.-</t>
      </text>
    </comment>
    <comment ref="G8" authorId="2" shapeId="0" xr:uid="{89C33586-7617-41A9-9927-C3EEF1703468}">
      <text>
        <t>[Threaded comment]
Your version of Excel allows you to read this threaded comment; however, any edits to it will get removed if the file is opened in a newer version of Excel. Learn more: https://go.microsoft.com/fwlink/?linkid=870924
Comment:
    Puede modificar el monto en caso de que este aporte esté distribuido en distintas instituciones.-</t>
      </text>
    </comment>
    <comment ref="G9" authorId="3" shapeId="0" xr:uid="{75B59B58-F912-4988-80D5-555831CC8556}">
      <text>
        <t>[Threaded comment]
Your version of Excel allows you to read this threaded comment; however, any edits to it will get removed if the file is opened in a newer version of Excel. Learn more: https://go.microsoft.com/fwlink/?linkid=870924
Comment:
    Puede modificar el monto en caso de que este aporte esté distribuido en distintas instituciones.-</t>
      </text>
    </comment>
    <comment ref="G11" authorId="4" shapeId="0" xr:uid="{F6ED456A-0283-4CCC-9F94-F10A9C4FB954}">
      <text>
        <t>[Threaded comment]
Your version of Excel allows you to read this threaded comment; however, any edits to it will get removed if the file is opened in a newer version of Excel. Learn more: https://go.microsoft.com/fwlink/?linkid=870924
Comment:
    Puede modificar el monto en caso de que este aporte esté distribuido en distintas instituciones.-</t>
      </text>
    </comment>
    <comment ref="G12" authorId="5" shapeId="0" xr:uid="{BF38B127-74C0-45FF-8532-13088784B80B}">
      <text>
        <t>[Threaded comment]
Your version of Excel allows you to read this threaded comment; however, any edits to it will get removed if the file is opened in a newer version of Excel. Learn more: https://go.microsoft.com/fwlink/?linkid=870924
Comment:
    Puede modificar el monto en caso de que este aporte esté distribuido en distintas instituciones.-</t>
      </text>
    </comment>
    <comment ref="G13" authorId="6" shapeId="0" xr:uid="{8FFC5D1E-1884-40B0-B0C2-9C506B913365}">
      <text>
        <t>[Threaded comment]
Your version of Excel allows you to read this threaded comment; however, any edits to it will get removed if the file is opened in a newer version of Excel. Learn more: https://go.microsoft.com/fwlink/?linkid=870924
Comment:
    Puede modificar el monto en caso de que este aporte esté distribuido en distintas instituciones.-</t>
      </text>
    </comment>
  </commentList>
</comments>
</file>

<file path=xl/sharedStrings.xml><?xml version="1.0" encoding="utf-8"?>
<sst xmlns="http://schemas.openxmlformats.org/spreadsheetml/2006/main" count="329" uniqueCount="165">
  <si>
    <t>INSTRUCCIONES</t>
  </si>
  <si>
    <r>
      <rPr>
        <b/>
        <u/>
        <sz val="11"/>
        <color theme="0"/>
        <rFont val="Calibri"/>
        <family val="2"/>
        <scheme val="minor"/>
      </rPr>
      <t>IMPORTANTE</t>
    </r>
    <r>
      <rPr>
        <b/>
        <sz val="11"/>
        <color theme="0"/>
        <rFont val="Calibri"/>
        <family val="2"/>
        <scheme val="minor"/>
      </rPr>
      <t>: 
Recuerde que el(la) postulante es el(la) responsable del correcto ingreso de los montos en las celdas correspondientes y de la completitud del Formulario, las celdas de verificación y/o validación son solo de ayuda. No debe alterar el formato ni las fórmulas (desbloquear, mover celdas, insertar filas, eliminar columnas, etc.).</t>
    </r>
  </si>
  <si>
    <t>COTIZACIONES</t>
  </si>
  <si>
    <r>
      <t>1.- Se debe completar la Hoja COTIZACIONES con los</t>
    </r>
    <r>
      <rPr>
        <b/>
        <sz val="11"/>
        <rFont val="Calibri"/>
        <family val="2"/>
        <scheme val="minor"/>
      </rPr>
      <t xml:space="preserve"> valores</t>
    </r>
    <r>
      <rPr>
        <sz val="11"/>
        <rFont val="Calibri"/>
        <family val="2"/>
        <scheme val="minor"/>
      </rPr>
      <t xml:space="preserve"> del </t>
    </r>
    <r>
      <rPr>
        <b/>
        <sz val="11"/>
        <rFont val="Calibri"/>
        <family val="2"/>
        <scheme val="minor"/>
      </rPr>
      <t>Equipo, Plataforma y/o Accesorios</t>
    </r>
    <r>
      <rPr>
        <sz val="11"/>
        <rFont val="Calibri"/>
        <family val="2"/>
        <scheme val="minor"/>
      </rPr>
      <t xml:space="preserve">, con o sin IVA, de acuerdo a la(s) cotización(es) presentada(s) en la postulación, siguiendo las instrucciones indicadas.-
2.- Se puede usar la sección COTIZACIÓN PRESENTADA PARA EQUIPO PRINCIPAL o COTIZACIÓN PRESENTADA PARA PLATAFORMA DE EQUIPOS, dependiendo de la configuración postulada.-
3.- En el caso de Equipos que presenten más de una cotización por cada uno, se deben sumar los valores individuales en la celda correspondiente.-
4.- En el caso de </t>
    </r>
    <r>
      <rPr>
        <b/>
        <sz val="11"/>
        <rFont val="Calibri"/>
        <family val="2"/>
        <scheme val="minor"/>
      </rPr>
      <t>Plataformas</t>
    </r>
    <r>
      <rPr>
        <sz val="11"/>
        <rFont val="Calibri"/>
        <family val="2"/>
        <scheme val="minor"/>
      </rPr>
      <t xml:space="preserve">, se debe ingresar cada valor en una celda distinta, los cuales se suman para el valor final de ésta.-
5.- Las Cotizaciones deben corresponder a la </t>
    </r>
    <r>
      <rPr>
        <b/>
        <sz val="11"/>
        <rFont val="Calibri"/>
        <family val="2"/>
        <scheme val="minor"/>
      </rPr>
      <t>misma configuración del equipamiento postulado</t>
    </r>
    <r>
      <rPr>
        <sz val="11"/>
        <rFont val="Calibri"/>
        <family val="2"/>
        <scheme val="minor"/>
      </rPr>
      <t>.-
6.-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Usar los </t>
    </r>
    <r>
      <rPr>
        <b/>
        <sz val="11"/>
        <rFont val="Calibri"/>
        <family val="2"/>
        <scheme val="minor"/>
      </rPr>
      <t>valores establecidos como tipo de cambio</t>
    </r>
    <r>
      <rPr>
        <sz val="11"/>
        <rFont val="Calibri"/>
        <family val="2"/>
        <scheme val="minor"/>
      </rPr>
      <t>.-</t>
    </r>
  </si>
  <si>
    <t>PRESUPUESTO</t>
  </si>
  <si>
    <r>
      <rPr>
        <b/>
        <sz val="11"/>
        <rFont val="Calibri"/>
        <family val="2"/>
        <scheme val="minor"/>
      </rPr>
      <t>1.-</t>
    </r>
    <r>
      <rPr>
        <sz val="11"/>
        <rFont val="Calibri"/>
        <family val="2"/>
        <scheme val="minor"/>
      </rPr>
      <t xml:space="preserve"> Solo ingresar valores en las celdas correspondientes a los montos de cada Sub-ítem.                        Todos los montos deben ser ingresados completos y en Pesos Chilenos (por ejemplo: $1.000.000 en lugar de M$1.000).-</t>
    </r>
  </si>
  <si>
    <r>
      <rPr>
        <b/>
        <sz val="11"/>
        <color indexed="8"/>
        <rFont val="Calibri"/>
        <family val="2"/>
        <scheme val="minor"/>
      </rPr>
      <t>2.-</t>
    </r>
    <r>
      <rPr>
        <sz val="11"/>
        <color indexed="8"/>
        <rFont val="Calibri"/>
        <family val="2"/>
        <scheme val="minor"/>
      </rPr>
      <t xml:space="preserve"> Se debe ingresar, en primer lugar, en la Hoja </t>
    </r>
    <r>
      <rPr>
        <b/>
        <sz val="11"/>
        <color indexed="8"/>
        <rFont val="Calibri"/>
        <family val="2"/>
        <scheme val="minor"/>
      </rPr>
      <t>I.- EQUIPAMIENTO</t>
    </r>
    <r>
      <rPr>
        <sz val="11"/>
        <color indexed="8"/>
        <rFont val="Calibri"/>
        <family val="2"/>
        <scheme val="minor"/>
      </rPr>
      <t xml:space="preserve"> el monto de </t>
    </r>
    <r>
      <rPr>
        <b/>
        <sz val="11"/>
        <color indexed="8"/>
        <rFont val="Calibri"/>
        <family val="2"/>
        <scheme val="minor"/>
      </rPr>
      <t xml:space="preserve">A.1 Equipo Principal o Plataforma </t>
    </r>
    <r>
      <rPr>
        <sz val="11"/>
        <color indexed="8"/>
        <rFont val="Calibri"/>
        <family val="2"/>
        <scheme val="minor"/>
      </rPr>
      <t>y/o</t>
    </r>
    <r>
      <rPr>
        <b/>
        <sz val="11"/>
        <color indexed="8"/>
        <rFont val="Calibri"/>
        <family val="2"/>
        <scheme val="minor"/>
      </rPr>
      <t xml:space="preserve"> A.2 Accesorio(s)</t>
    </r>
    <r>
      <rPr>
        <sz val="11"/>
        <color indexed="8"/>
        <rFont val="Calibri"/>
        <family val="2"/>
        <scheme val="minor"/>
      </rPr>
      <t xml:space="preserve">, si corresponde. La suma de estos montos no puede ser menor a </t>
    </r>
    <r>
      <rPr>
        <b/>
        <sz val="11"/>
        <color indexed="8"/>
        <rFont val="Calibri"/>
        <family val="2"/>
        <scheme val="minor"/>
      </rPr>
      <t>$50.000.000 (cincuenta millones de pesos)</t>
    </r>
    <r>
      <rPr>
        <sz val="11"/>
        <color indexed="8"/>
        <rFont val="Calibri"/>
        <family val="2"/>
        <scheme val="minor"/>
      </rPr>
      <t>.-</t>
    </r>
  </si>
  <si>
    <r>
      <rPr>
        <b/>
        <sz val="11"/>
        <color indexed="8"/>
        <rFont val="Calibri"/>
        <family val="2"/>
        <scheme val="minor"/>
      </rPr>
      <t xml:space="preserve">3.- </t>
    </r>
    <r>
      <rPr>
        <sz val="11"/>
        <color indexed="8"/>
        <rFont val="Calibri"/>
        <family val="2"/>
        <scheme val="minor"/>
      </rPr>
      <t xml:space="preserve">Ingresar el </t>
    </r>
    <r>
      <rPr>
        <b/>
        <sz val="11"/>
        <color indexed="8"/>
        <rFont val="Calibri"/>
        <family val="2"/>
        <scheme val="minor"/>
      </rPr>
      <t>Aporte Pecuniario total de la(s) Institución(es)</t>
    </r>
    <r>
      <rPr>
        <sz val="11"/>
        <color indexed="8"/>
        <rFont val="Calibri"/>
        <family val="2"/>
        <scheme val="minor"/>
      </rPr>
      <t xml:space="preserve"> que conforma(n) la propuesta (Beneficiara y Asociada(s), si corresponde). Éste debe ser equivalente, al menos, al 10% del monto de </t>
    </r>
    <r>
      <rPr>
        <b/>
        <sz val="11"/>
        <color indexed="8"/>
        <rFont val="Calibri"/>
        <family val="2"/>
        <scheme val="minor"/>
      </rPr>
      <t xml:space="preserve">A. Equipamiento </t>
    </r>
    <r>
      <rPr>
        <sz val="11"/>
        <color rgb="FF000000"/>
        <rFont val="Calibri"/>
        <family val="2"/>
        <scheme val="minor"/>
      </rPr>
      <t xml:space="preserve">y puede ser </t>
    </r>
    <r>
      <rPr>
        <b/>
        <sz val="11"/>
        <color indexed="8"/>
        <rFont val="Calibri"/>
        <family val="2"/>
        <scheme val="minor"/>
      </rPr>
      <t xml:space="preserve">comprometido </t>
    </r>
    <r>
      <rPr>
        <sz val="11"/>
        <color rgb="FF000000"/>
        <rFont val="Calibri"/>
        <family val="2"/>
        <scheme val="minor"/>
      </rPr>
      <t>en los sub-ítems</t>
    </r>
    <r>
      <rPr>
        <b/>
        <sz val="11"/>
        <color indexed="8"/>
        <rFont val="Calibri"/>
        <family val="2"/>
        <scheme val="minor"/>
      </rPr>
      <t xml:space="preserve">: </t>
    </r>
    <r>
      <rPr>
        <b/>
        <sz val="11"/>
        <color rgb="FF000000"/>
        <rFont val="Calibri"/>
        <family val="2"/>
        <scheme val="minor"/>
      </rPr>
      <t>A.1.</t>
    </r>
    <r>
      <rPr>
        <sz val="11"/>
        <color rgb="FF000000"/>
        <rFont val="Calibri"/>
        <family val="2"/>
        <scheme val="minor"/>
      </rPr>
      <t xml:space="preserve"> Equipo Principal o Plataforma y/o A.2 Accesorio(s) y/o </t>
    </r>
    <r>
      <rPr>
        <b/>
        <sz val="11"/>
        <color rgb="FF000000"/>
        <rFont val="Calibri"/>
        <family val="2"/>
        <scheme val="minor"/>
      </rPr>
      <t>B.1</t>
    </r>
    <r>
      <rPr>
        <sz val="11"/>
        <color rgb="FF000000"/>
        <rFont val="Calibri"/>
        <family val="2"/>
        <scheme val="minor"/>
      </rPr>
      <t xml:space="preserve">. Traslados, Seguros de Traslado, Desaduanaje e IVA de Equipo y/o </t>
    </r>
    <r>
      <rPr>
        <b/>
        <sz val="11"/>
        <color rgb="FF000000"/>
        <rFont val="Calibri"/>
        <family val="2"/>
        <scheme val="minor"/>
      </rPr>
      <t>B.3</t>
    </r>
    <r>
      <rPr>
        <sz val="11"/>
        <color rgb="FF000000"/>
        <rFont val="Calibri"/>
        <family val="2"/>
        <scheme val="minor"/>
      </rPr>
      <t xml:space="preserve">. Instalación y Puesta en Marcha de Equipo y/o </t>
    </r>
    <r>
      <rPr>
        <b/>
        <sz val="11"/>
        <color rgb="FF000000"/>
        <rFont val="Calibri"/>
        <family val="2"/>
        <scheme val="minor"/>
      </rPr>
      <t>B.4</t>
    </r>
    <r>
      <rPr>
        <sz val="11"/>
        <color rgb="FF000000"/>
        <rFont val="Calibri"/>
        <family val="2"/>
        <scheme val="minor"/>
      </rPr>
      <t xml:space="preserve">. Mantención, Garantías y Seguros de Equipo y/o </t>
    </r>
    <r>
      <rPr>
        <b/>
        <sz val="11"/>
        <color rgb="FF000000"/>
        <rFont val="Calibri"/>
        <family val="2"/>
        <scheme val="minor"/>
      </rPr>
      <t>C.1</t>
    </r>
    <r>
      <rPr>
        <sz val="11"/>
        <color rgb="FF000000"/>
        <rFont val="Calibri"/>
        <family val="2"/>
        <scheme val="minor"/>
      </rPr>
      <t>. Capacitaciones.-</t>
    </r>
  </si>
  <si>
    <r>
      <rPr>
        <b/>
        <sz val="11"/>
        <color indexed="8"/>
        <rFont val="Calibri"/>
        <family val="2"/>
        <scheme val="minor"/>
      </rPr>
      <t>4.-</t>
    </r>
    <r>
      <rPr>
        <sz val="11"/>
        <color indexed="8"/>
        <rFont val="Calibri"/>
        <family val="2"/>
        <scheme val="minor"/>
      </rPr>
      <t xml:space="preserve"> El </t>
    </r>
    <r>
      <rPr>
        <b/>
        <sz val="11"/>
        <color indexed="8"/>
        <rFont val="Calibri"/>
        <family val="2"/>
        <scheme val="minor"/>
      </rPr>
      <t>Aporte No Pecuniario total</t>
    </r>
    <r>
      <rPr>
        <sz val="11"/>
        <color indexed="8"/>
        <rFont val="Calibri"/>
        <family val="2"/>
        <scheme val="minor"/>
      </rPr>
      <t xml:space="preserve"> </t>
    </r>
    <r>
      <rPr>
        <b/>
        <sz val="11"/>
        <color indexed="8"/>
        <rFont val="Calibri"/>
        <family val="2"/>
        <scheme val="minor"/>
      </rPr>
      <t>de la(s) Institución(es)</t>
    </r>
    <r>
      <rPr>
        <sz val="11"/>
        <color indexed="8"/>
        <rFont val="Calibri"/>
        <family val="2"/>
        <scheme val="minor"/>
      </rPr>
      <t xml:space="preserve"> que conforma(n) la propuesta debe ser, al menos, el equivalente al porcentaje no financiado por aportes pecuniarios necesarios para lograr, al menos, el 50% de cofinanciamiento del monto de </t>
    </r>
    <r>
      <rPr>
        <b/>
        <sz val="11"/>
        <color indexed="8"/>
        <rFont val="Calibri"/>
        <family val="2"/>
        <scheme val="minor"/>
      </rPr>
      <t>A. Equipamiento</t>
    </r>
    <r>
      <rPr>
        <sz val="11"/>
        <color indexed="8"/>
        <rFont val="Calibri"/>
        <family val="2"/>
        <scheme val="minor"/>
      </rPr>
      <t xml:space="preserve"> y se debe considerar en </t>
    </r>
    <r>
      <rPr>
        <b/>
        <sz val="11"/>
        <color indexed="8"/>
        <rFont val="Calibri"/>
        <family val="2"/>
        <scheme val="minor"/>
      </rPr>
      <t>B.- Traslados e Instalación y/o en C.- Operación</t>
    </r>
    <r>
      <rPr>
        <sz val="11"/>
        <color indexed="8"/>
        <rFont val="Calibri"/>
        <family val="2"/>
        <scheme val="minor"/>
      </rPr>
      <t>.-</t>
    </r>
  </si>
  <si>
    <r>
      <rPr>
        <b/>
        <sz val="11"/>
        <rFont val="Calibri"/>
        <family val="2"/>
        <scheme val="minor"/>
      </rPr>
      <t>5.-</t>
    </r>
    <r>
      <rPr>
        <sz val="11"/>
        <rFont val="Calibri"/>
        <family val="2"/>
        <scheme val="minor"/>
      </rPr>
      <t xml:space="preserve"> En la Hoja </t>
    </r>
    <r>
      <rPr>
        <b/>
        <sz val="11"/>
        <rFont val="Calibri"/>
        <family val="2"/>
        <scheme val="minor"/>
      </rPr>
      <t>DETALLE APORTES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ingresar los aportes de las Instituciones</t>
    </r>
    <r>
      <rPr>
        <sz val="11"/>
        <rFont val="Calibri"/>
        <family val="2"/>
        <scheme val="minor"/>
      </rPr>
      <t xml:space="preserve"> Beneficiaria y Asociada(s), cuando corresponda, los cuales están vinculados con la Hoja</t>
    </r>
    <r>
      <rPr>
        <b/>
        <sz val="11"/>
        <rFont val="Calibri"/>
        <family val="2"/>
        <scheme val="minor"/>
      </rPr>
      <t xml:space="preserve"> I.- EQUIPAMIENTO </t>
    </r>
    <r>
      <rPr>
        <sz val="11"/>
        <rFont val="Calibri"/>
        <family val="2"/>
        <scheme val="minor"/>
      </rPr>
      <t>y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Hoja</t>
    </r>
    <r>
      <rPr>
        <b/>
        <sz val="11"/>
        <rFont val="Calibri"/>
        <family val="2"/>
        <scheme val="minor"/>
      </rPr>
      <t xml:space="preserve"> II.- TRASLADOS, INST. OPERACIÓN</t>
    </r>
    <r>
      <rPr>
        <sz val="11"/>
        <rFont val="Calibri"/>
        <family val="2"/>
        <scheme val="minor"/>
      </rPr>
      <t xml:space="preserve">.- </t>
    </r>
    <r>
      <rPr>
        <i/>
        <sz val="11"/>
        <rFont val="Calibri"/>
        <family val="2"/>
        <scheme val="minor"/>
      </rPr>
      <t>Si modifica los montos en forma manual de los ítems comprometidos en A.1 Equipo Principal o Plataforma y/o A.2 Accesorio(s) y/o B.1. Traslados, Seguros de Traslado, Desaduanaje e IVA de Equipo y/o B.3. Instalación y Puesta en Marcha de Equipo y/o B.4. Mantención, Garantías y Seguros de Equipo y/o C.1. Capacitaciones, verificar que éstos coincidan con los ingresados en la Hoja I.- EQUIPAMIENTO.-</t>
    </r>
  </si>
  <si>
    <r>
      <rPr>
        <b/>
        <sz val="11"/>
        <color indexed="8"/>
        <rFont val="Calibri"/>
        <family val="2"/>
        <scheme val="minor"/>
      </rPr>
      <t>6.-</t>
    </r>
    <r>
      <rPr>
        <sz val="11"/>
        <color indexed="8"/>
        <rFont val="Calibri"/>
        <family val="2"/>
        <scheme val="minor"/>
      </rPr>
      <t xml:space="preserve"> El Sub-ítem </t>
    </r>
    <r>
      <rPr>
        <b/>
        <sz val="11"/>
        <color indexed="8"/>
        <rFont val="Calibri"/>
        <family val="2"/>
        <scheme val="minor"/>
      </rPr>
      <t>B.4.- Mantención, Garantías y Seguros</t>
    </r>
    <r>
      <rPr>
        <sz val="11"/>
        <color indexed="8"/>
        <rFont val="Calibri"/>
        <family val="2"/>
        <scheme val="minor"/>
      </rPr>
      <t xml:space="preserve"> debe contemplar financiamiento de forma </t>
    </r>
    <r>
      <rPr>
        <b/>
        <sz val="11"/>
        <color indexed="8"/>
        <rFont val="Calibri"/>
        <family val="2"/>
        <scheme val="minor"/>
      </rPr>
      <t>obligatoria</t>
    </r>
    <r>
      <rPr>
        <sz val="11"/>
        <color indexed="8"/>
        <rFont val="Calibri"/>
        <family val="2"/>
        <scheme val="minor"/>
      </rPr>
      <t>, ya sea, solicitado a FONDEQUIP o con Aportes Pecuniarios y/o No Pecuniarios de la(s) Institución(es).-</t>
    </r>
  </si>
  <si>
    <r>
      <rPr>
        <b/>
        <sz val="11"/>
        <color indexed="8"/>
        <rFont val="Calibri"/>
        <family val="2"/>
        <scheme val="minor"/>
      </rPr>
      <t>7.-</t>
    </r>
    <r>
      <rPr>
        <sz val="11"/>
        <color indexed="8"/>
        <rFont val="Calibri"/>
        <family val="2"/>
        <scheme val="minor"/>
      </rPr>
      <t xml:space="preserve"> El </t>
    </r>
    <r>
      <rPr>
        <b/>
        <sz val="11"/>
        <color indexed="8"/>
        <rFont val="Calibri"/>
        <family val="2"/>
        <scheme val="minor"/>
      </rPr>
      <t>Monto total solicitado a FONDEQUIP</t>
    </r>
    <r>
      <rPr>
        <sz val="11"/>
        <color indexed="8"/>
        <rFont val="Calibri"/>
        <family val="2"/>
        <scheme val="minor"/>
      </rPr>
      <t xml:space="preserve"> no puede ser mayor a</t>
    </r>
    <r>
      <rPr>
        <b/>
        <sz val="11"/>
        <color indexed="8"/>
        <rFont val="Calibri"/>
        <family val="2"/>
        <scheme val="minor"/>
      </rPr>
      <t xml:space="preserve"> $400.000.000 (cuatrocientos millones de pesos)</t>
    </r>
    <r>
      <rPr>
        <sz val="11"/>
        <color indexed="8"/>
        <rFont val="Calibri"/>
        <family val="2"/>
        <scheme val="minor"/>
      </rPr>
      <t xml:space="preserve">.- </t>
    </r>
  </si>
  <si>
    <r>
      <rPr>
        <b/>
        <sz val="11"/>
        <rFont val="Calibri"/>
        <family val="2"/>
        <scheme val="minor"/>
      </rPr>
      <t>8</t>
    </r>
    <r>
      <rPr>
        <sz val="11"/>
        <rFont val="Calibri"/>
        <family val="2"/>
        <scheme val="minor"/>
      </rPr>
      <t xml:space="preserve">.- En la Hoja </t>
    </r>
    <r>
      <rPr>
        <b/>
        <sz val="11"/>
        <rFont val="Calibri"/>
        <family val="2"/>
        <scheme val="minor"/>
      </rPr>
      <t>DETALLE PRESUPUESTO</t>
    </r>
    <r>
      <rPr>
        <sz val="11"/>
        <rFont val="Calibri"/>
        <family val="2"/>
        <scheme val="minor"/>
      </rPr>
      <t xml:space="preserve"> se deben desglosar los montos y explicar brevemente cada Sub-ítem del Presupuesto correspondiente a los aportes FONDEQUIP, Pecuniarios y No Pecuniarios, lo cual debe ser consecuente con la propuesta.</t>
    </r>
  </si>
  <si>
    <t>ACTA DE COTIZACIONES</t>
  </si>
  <si>
    <t>OBSERVACIONES</t>
  </si>
  <si>
    <t>CONSIDERAR:</t>
  </si>
  <si>
    <t>1.- Completar solamente las celdas en color CELESTE.
2.- Ingresar el monto del Equipo, Pataforma y Accesorio(s) indicado en la(s) cotización(es) respectiva(s), pudiendo considerar o no el IVA.- 
3.- Puede utilizar la sección COTIZACIÓN PRESENTADA PARA EQUIPO PRINCIPAL o COTIZACIÓN PRESENTADA PARA PLATAFORMA DE EQUIPOS.
4.- La(s) cotización(es) señalada(s) para justificar el monto solicitado en A. Equipamiento, debe(n) ser la(s) misma(s) adjuntada(s) en la Plataforma de Postulación (Etapa FORMULACIÓN / Cotizaciones) y corresponder a la misma configuración del equipamiento postulado.</t>
  </si>
  <si>
    <t xml:space="preserve">1.  Indicar el Tipo de Cambio utilizado cuando se trate de "Otra Moneda". </t>
  </si>
  <si>
    <t>Tipo de cambio utilizado (Pesos $)</t>
  </si>
  <si>
    <t>2. Seleccionar de la lista deplegable la moneda en la cual se expresan los montos en la Cotización. Se calculará automáticamente el monto equivalente en Pesos Chilenos ($).</t>
  </si>
  <si>
    <t>Dólar</t>
  </si>
  <si>
    <t>Euro</t>
  </si>
  <si>
    <t>Pesos</t>
  </si>
  <si>
    <t>Otra Moneda</t>
  </si>
  <si>
    <t>COTIZACIÓN PRESENTADA PARA EQUIPO PRINCIPAL</t>
  </si>
  <si>
    <t>N° de Cotización</t>
  </si>
  <si>
    <t>Monto Cotización</t>
  </si>
  <si>
    <t>Monto $</t>
  </si>
  <si>
    <t>Total $</t>
  </si>
  <si>
    <t>Nombre Proveedor</t>
  </si>
  <si>
    <t>A. EQUIPAMIENTO</t>
  </si>
  <si>
    <t>A.1. Equipo Principal</t>
  </si>
  <si>
    <t>A.2. Accesorio(s)</t>
  </si>
  <si>
    <t>COTIZACIÓN PRESENTADA PARA PLATAFORMA DE EQUIPOS</t>
  </si>
  <si>
    <t>A.1. Plataforma - Equipo 1</t>
  </si>
  <si>
    <t>A.1. Plataforma - Equipo 2</t>
  </si>
  <si>
    <t>A.1. Plataforma - Equipo 3</t>
  </si>
  <si>
    <t>A.1. Plataforma - Equipo 4</t>
  </si>
  <si>
    <t>A.1. Plataforma - Equipo 5</t>
  </si>
  <si>
    <t>A.1. Plataforma - Equipo 6</t>
  </si>
  <si>
    <t>A.1. Plataforma - Equipo 7</t>
  </si>
  <si>
    <t>A.1. Plataforma - Equipo 8</t>
  </si>
  <si>
    <t>A.1. Plataforma - Equipo 9</t>
  </si>
  <si>
    <t>A.1. Plataforma - Equipo 10</t>
  </si>
  <si>
    <t>JUSTIFICACIÓN DEL EQUIPAMIENTO POSTULADO</t>
  </si>
  <si>
    <t>1.- INGRESE MONTO DEL EQUIPAMIENTO Y/O ACCESORIO(S)</t>
  </si>
  <si>
    <t>Monto ($)</t>
  </si>
  <si>
    <t>VERIFICACION</t>
  </si>
  <si>
    <r>
      <t xml:space="preserve">La suma de ambos Sub-ítems: A.1. Equipo Principal o Plataforma + A.2. Accesorio(s), debe ser igual o mayor a </t>
    </r>
    <r>
      <rPr>
        <b/>
        <sz val="11"/>
        <color indexed="8"/>
        <rFont val="Calibri"/>
        <family val="2"/>
        <scheme val="minor"/>
      </rPr>
      <t>$50.000.000</t>
    </r>
    <r>
      <rPr>
        <sz val="11"/>
        <color indexed="8"/>
        <rFont val="Calibri"/>
        <family val="2"/>
        <scheme val="minor"/>
      </rPr>
      <t xml:space="preserve"> (cincuenta millones de pesos).</t>
    </r>
  </si>
  <si>
    <t>A.1 Equipo Principal o Plataforma</t>
  </si>
  <si>
    <t>Ingrese el monto total del Equipo Principal o Plataforma y/o Accesorio(s).
El cuadro de verificación debe estar en color VERDE, para continuar con el Aporte Pecuniario Institucional.-</t>
  </si>
  <si>
    <t>A.2 Accesorio(s)</t>
  </si>
  <si>
    <t>2.- INGRESE APORTE PECUNIARIO INSTITUCIONAL</t>
  </si>
  <si>
    <r>
      <t xml:space="preserve">La suma de los </t>
    </r>
    <r>
      <rPr>
        <b/>
        <sz val="11"/>
        <color theme="1"/>
        <rFont val="Calibri"/>
        <family val="2"/>
        <scheme val="minor"/>
      </rPr>
      <t>Aportes Pecuniarios</t>
    </r>
    <r>
      <rPr>
        <sz val="11"/>
        <color theme="1"/>
        <rFont val="Calibri"/>
        <family val="2"/>
        <scheme val="minor"/>
      </rPr>
      <t xml:space="preserve"> comprometidos en A.1 Equipo Principal o Plataforma y/o A.2 Accesorio(s) y/o B.1. Traslados, Seguros de Traslado, Desaduanaje e IVA de Equipo y/o B.3. Instalación y Puesta en Marcha de Equipo y/o B.4. Mantención, Garantías y Seguros de Equipo y/o C.1. Capacitaciones, </t>
    </r>
    <r>
      <rPr>
        <b/>
        <sz val="11"/>
        <color theme="1"/>
        <rFont val="Calibri"/>
        <family val="2"/>
        <scheme val="minor"/>
      </rPr>
      <t xml:space="preserve">no puede ser menor al </t>
    </r>
    <r>
      <rPr>
        <b/>
        <sz val="11"/>
        <color indexed="8"/>
        <rFont val="Calibri"/>
        <family val="2"/>
        <scheme val="minor"/>
      </rPr>
      <t>10% del Monto Total de A.- Equipamiento (Equipo Principal o Plataforma + Accesorio(s)).</t>
    </r>
    <r>
      <rPr>
        <sz val="11"/>
        <color indexed="8"/>
        <rFont val="Calibri"/>
        <family val="2"/>
        <scheme val="minor"/>
      </rPr>
      <t xml:space="preserve">
FONDEQUIP financia hasta</t>
    </r>
    <r>
      <rPr>
        <b/>
        <sz val="11"/>
        <color indexed="8"/>
        <rFont val="Calibri"/>
        <family val="2"/>
        <scheme val="minor"/>
      </rPr>
      <t xml:space="preserve"> $400.000.000</t>
    </r>
    <r>
      <rPr>
        <sz val="11"/>
        <color indexed="8"/>
        <rFont val="Calibri"/>
        <family val="2"/>
        <scheme val="minor"/>
      </rPr>
      <t xml:space="preserve"> (cuatrocientos millones de pesos), si existe diferencia por un mayor costo del equipamiento, ésta debe ser asumida por la(s) Institución(es).</t>
    </r>
  </si>
  <si>
    <t>Una vez ingresado el monto del Equipamiento, ingrese el Aporte Pecunairo Institucional, el cual no puede ser menor al 10% del monto de A. Equipamiento y puede ser comprometidos en los siguientes sub-ítems:
A.1 Equipo Principal o Plataforma
A.2 Accesorio(s)
B.1. Traslados, Seguros de Traslado, Desaduanaje e IVA de Equipo
B.3. Instalación y Puesta en Marcha de Equipo
B.4. Mantención, Garantías y Seguros de Equipo
C.1. Capacitaciones</t>
  </si>
  <si>
    <t>B.1. Traslados, Seguros de Traslado, Desaduanaje e IVA de Equipo</t>
  </si>
  <si>
    <t>B.3. Instalación y Puesta en Marcha de Equipo</t>
  </si>
  <si>
    <t>B.4. Mantención, Garantías y Seguros de Equipo</t>
  </si>
  <si>
    <t>C.1. Capacitaciones</t>
  </si>
  <si>
    <t xml:space="preserve"> Cuando el Monto de aporte Solicitado a FONDEQUIP se encuentre aceptado, la celda de verificación debe estar en VERDE.</t>
  </si>
  <si>
    <t>3. INGRESE LOS MONTOS SOLICITADOS A FONDEQUIP PARA EL SUB-ÍTEM B. TRASLADOS E INSTALACIÓN EN LAS CELDAS CORRESPONDIENTES. 
    LOS APORTES INSTITUCIONALES ESTÁN VINCULADOS CON LA HOJA "I.- EQUIPAMIENTO" Y "DETALLE APORTES".-</t>
  </si>
  <si>
    <t>Montos Solicitados a FONDEQUIP</t>
  </si>
  <si>
    <t>Montos Aportados por la(s) Institución(es)</t>
  </si>
  <si>
    <t>CONSIDERACIONES</t>
  </si>
  <si>
    <t>Aporte Pecuniario</t>
  </si>
  <si>
    <t>Aporte No Pecuniario</t>
  </si>
  <si>
    <r>
      <t xml:space="preserve">1.- Si en </t>
    </r>
    <r>
      <rPr>
        <b/>
        <sz val="10.5"/>
        <rFont val="Calibri"/>
        <family val="2"/>
        <scheme val="minor"/>
      </rPr>
      <t>A. Equipamiento</t>
    </r>
    <r>
      <rPr>
        <sz val="10.5"/>
        <rFont val="Calibri"/>
        <family val="2"/>
        <scheme val="minor"/>
      </rPr>
      <t xml:space="preserve"> solicitó a FONDEQUIP el máximo de recursos que puede aportar por proyecto por </t>
    </r>
    <r>
      <rPr>
        <b/>
        <sz val="10.5"/>
        <rFont val="Calibri"/>
        <family val="2"/>
        <scheme val="minor"/>
      </rPr>
      <t>$400.000.000</t>
    </r>
    <r>
      <rPr>
        <sz val="10.5"/>
        <rFont val="Calibri"/>
        <family val="2"/>
        <scheme val="minor"/>
      </rPr>
      <t xml:space="preserve">, no puede solicitar financiamiento para los Sub-ítems de </t>
    </r>
    <r>
      <rPr>
        <b/>
        <sz val="10.5"/>
        <rFont val="Calibri"/>
        <family val="2"/>
        <scheme val="minor"/>
      </rPr>
      <t>B. Traslados e Instalación.</t>
    </r>
  </si>
  <si>
    <t>A.1. Equipo Principal o Plataforma</t>
  </si>
  <si>
    <t>NO APLICA</t>
  </si>
  <si>
    <t xml:space="preserve">A.2. Accesorio(s) </t>
  </si>
  <si>
    <r>
      <t xml:space="preserve">2.- El </t>
    </r>
    <r>
      <rPr>
        <b/>
        <sz val="10.5"/>
        <rFont val="Calibri"/>
        <family val="2"/>
        <scheme val="minor"/>
      </rPr>
      <t>Sub-ítem Mantención, Garantías y Seguros</t>
    </r>
    <r>
      <rPr>
        <sz val="10.5"/>
        <rFont val="Calibri"/>
        <family val="2"/>
        <scheme val="minor"/>
      </rPr>
      <t xml:space="preserve"> debe contemplar financiamiento, ya sea por FONDEQUIP y/o por la(s) Institución(es) Beneficiaria y Asociada(s), si corresponde (Pecuniario y/o No Pecuniario).</t>
    </r>
  </si>
  <si>
    <t>B.2. Adecuación Espacio para Equipo</t>
  </si>
  <si>
    <t>3.- Se recomienda incorporar el equipo a la póliza de seguro institucional (Aporte No Pecuniario).</t>
  </si>
  <si>
    <r>
      <t xml:space="preserve">4.- El </t>
    </r>
    <r>
      <rPr>
        <b/>
        <sz val="10.5"/>
        <rFont val="Calibri"/>
        <family val="2"/>
        <scheme val="minor"/>
      </rPr>
      <t>Aporte No Pecuniario</t>
    </r>
    <r>
      <rPr>
        <sz val="10.5"/>
        <rFont val="Calibri"/>
        <family val="2"/>
        <scheme val="minor"/>
      </rPr>
      <t xml:space="preserve"> debe ser, al menos, el equivalente al porcentaje no financiado por aportes pecuniarios, necesarios para cumplir con el mínimo del 50% de cofinanciamiento del monto total de </t>
    </r>
    <r>
      <rPr>
        <b/>
        <sz val="10.5"/>
        <rFont val="Calibri"/>
        <family val="2"/>
        <scheme val="minor"/>
      </rPr>
      <t>A. Equipamiento</t>
    </r>
    <r>
      <rPr>
        <sz val="10.5"/>
        <rFont val="Calibri"/>
        <family val="2"/>
        <scheme val="minor"/>
      </rPr>
      <t>.</t>
    </r>
  </si>
  <si>
    <t>C.2. Otros Gastos de Operación</t>
  </si>
  <si>
    <t>C.3. Gastos Administración</t>
  </si>
  <si>
    <t xml:space="preserve"> Cuando los Montos de los aportes, tanto de FONDEQUIP como de la(s) Institución(es), cumplan con las reglas de financiamiento y co-financiamiento establecidas por bases, las celdas de VERIFICACIÓN DE APORTES estarán en VERDE. No deben existir alertas en ROJO.</t>
  </si>
  <si>
    <t>TOTALES</t>
  </si>
  <si>
    <t>TOTAL A. EQUIPAMIENTO</t>
  </si>
  <si>
    <t>MÍNIMO APORTES = 50% DEL MONTO TOTAL DE A. EQUIPAMIENTO</t>
  </si>
  <si>
    <t>TOTAL PECUNIARIO + TOTAL NO PECUNIARIO</t>
  </si>
  <si>
    <t>APORTE FONDEQUIP A. EQUIPAMIENTO</t>
  </si>
  <si>
    <t>MÁXIMO A FINANCIAR B. TRASLADOS E INSTALACIÓN</t>
  </si>
  <si>
    <t>TOTAL B. TRASLADOS E INSTALACIÓN</t>
  </si>
  <si>
    <t>% DE A. EQUIPAMIENTO</t>
  </si>
  <si>
    <t>DETALLE APORTES INSTITUCIONALES</t>
  </si>
  <si>
    <t>Total APORTES al Proyecto</t>
  </si>
  <si>
    <t>Montos aportados por la INSTITUCIÓN BENEFICIARIA</t>
  </si>
  <si>
    <t>Montos aportados por la INSTITUCIÓN ASOCIADA 1</t>
  </si>
  <si>
    <t>Montos aportados por la INSTITUCIÓN ASOCIADA 2</t>
  </si>
  <si>
    <t>Montos aportados por la INSTITUCIÓN ASOCIADA 3</t>
  </si>
  <si>
    <t>Montos aportados por la INSTITUCIÓN ASOCIADA 4</t>
  </si>
  <si>
    <t>Montos aportados por la INSTITUCIÓN ASOCIADA 5</t>
  </si>
  <si>
    <t>Ítem</t>
  </si>
  <si>
    <t>Conjunto Sub-Ítem</t>
  </si>
  <si>
    <t>Sub-Ítem</t>
  </si>
  <si>
    <t>Pecuniario</t>
  </si>
  <si>
    <t>No Pecuniario</t>
  </si>
  <si>
    <t>EQUIPAMIENTO</t>
  </si>
  <si>
    <t>A</t>
  </si>
  <si>
    <t>B</t>
  </si>
  <si>
    <t>TRASLADOS e INSTALACION</t>
  </si>
  <si>
    <t>G. DE OPERACIÓN</t>
  </si>
  <si>
    <t>C</t>
  </si>
  <si>
    <t>OPERACIÓN</t>
  </si>
  <si>
    <t>C.3. Gastos de Administración</t>
  </si>
  <si>
    <t>PRESUPUESTO FINAL</t>
  </si>
  <si>
    <t>Si existen celdas con alertas en ROJO, significa que su presupuesto no cumple con las reglas establecidas por Bases (Inadmisible).-</t>
  </si>
  <si>
    <t>Costo Total del
Proyecto</t>
  </si>
  <si>
    <t>Montos solicitados a FONDEQUIP</t>
  </si>
  <si>
    <t>Montos aportados por la(s) INSTITUCIÓN(ES)</t>
  </si>
  <si>
    <t>TRASLADOS e INSTALACIÓN</t>
  </si>
  <si>
    <t>(NO COMPLETAR O MODIFICAR)</t>
  </si>
  <si>
    <t>DETALLE PRESUPUESTO</t>
  </si>
  <si>
    <t>Sub-ítem</t>
  </si>
  <si>
    <t>Costo Total del Proyecto</t>
  </si>
  <si>
    <t>Desglose los montos y explique brevemente cada Sub-ítem del Presupuesto, debe referirse a los aportes FONDEQUIP, Pecuniarios y No Pecuniarios.</t>
  </si>
  <si>
    <r>
      <rPr>
        <b/>
        <u/>
        <sz val="11"/>
        <color theme="1"/>
        <rFont val="Calibri"/>
        <family val="2"/>
        <scheme val="minor"/>
      </rPr>
      <t>Detalle Aportes FONDEQUIP</t>
    </r>
    <r>
      <rPr>
        <sz val="11"/>
        <color theme="1"/>
        <rFont val="Calibri"/>
        <family val="2"/>
        <scheme val="minor"/>
      </rPr>
      <t xml:space="preserve">: 
</t>
    </r>
    <r>
      <rPr>
        <sz val="10.5"/>
        <color theme="1"/>
        <rFont val="Calibri"/>
        <family val="2"/>
        <scheme val="minor"/>
      </rPr>
      <t xml:space="preserve">
</t>
    </r>
  </si>
  <si>
    <r>
      <rPr>
        <b/>
        <u/>
        <sz val="11"/>
        <color theme="1"/>
        <rFont val="Calibri"/>
        <family val="2"/>
        <scheme val="minor"/>
      </rPr>
      <t>Detalle Aportes Pecuniarios</t>
    </r>
    <r>
      <rPr>
        <sz val="10.5"/>
        <color theme="1"/>
        <rFont val="Calibri"/>
        <family val="2"/>
        <scheme val="minor"/>
      </rPr>
      <t xml:space="preserve">:
</t>
    </r>
    <r>
      <rPr>
        <sz val="10.5"/>
        <color theme="1"/>
        <rFont val="Calibri"/>
        <family val="2"/>
        <scheme val="minor"/>
      </rPr>
      <t xml:space="preserve">
</t>
    </r>
  </si>
  <si>
    <r>
      <rPr>
        <b/>
        <u/>
        <sz val="11"/>
        <color theme="1"/>
        <rFont val="Calibri"/>
        <family val="2"/>
        <scheme val="minor"/>
      </rPr>
      <t>Detalle Aportes No Pecuniarios</t>
    </r>
    <r>
      <rPr>
        <sz val="10.5"/>
        <color theme="1"/>
        <rFont val="Calibri"/>
        <family val="2"/>
        <scheme val="minor"/>
      </rPr>
      <t xml:space="preserve">:
</t>
    </r>
  </si>
  <si>
    <t>GASTOS DE OPERACIÓN</t>
  </si>
  <si>
    <t>PRESUPUESTO MODIFICADO</t>
  </si>
  <si>
    <t>USO INTERNO DEIA</t>
  </si>
  <si>
    <t>Montos Adjudicados FONDEQUIP</t>
  </si>
  <si>
    <t>Presupuesto Aprobado</t>
  </si>
  <si>
    <t>Modificación Solicitada
(Fecha:    )</t>
  </si>
  <si>
    <t>Presupuesto Modificado</t>
  </si>
  <si>
    <t>Pecuniario Comprometido</t>
  </si>
  <si>
    <t>Pecuniario Modificado</t>
  </si>
  <si>
    <t>No Pecuniario Comprometido</t>
  </si>
  <si>
    <t>No Pecuniario Modificado</t>
  </si>
  <si>
    <t>APORTE PECUNIARIO (10%)</t>
  </si>
  <si>
    <t xml:space="preserve">TOTAL APORTES PECUNIARIOS </t>
  </si>
  <si>
    <t xml:space="preserve">TOTAL APORTES NO PECUNIARIOS </t>
  </si>
  <si>
    <t>TOTAL APORTES</t>
  </si>
  <si>
    <t>PRESUPUESTO FINAL V/S MONTOS RENDIDOS</t>
  </si>
  <si>
    <t>Montos Ajudicados FONDEQUIP</t>
  </si>
  <si>
    <t>Rendición de Cuentas</t>
  </si>
  <si>
    <t>Saldo por Rendir</t>
  </si>
  <si>
    <t>RENDIDO</t>
  </si>
  <si>
    <t>APORTE PECUNIARIO 10%</t>
  </si>
  <si>
    <t>COTIZACIÓN POSTULACIÓN</t>
  </si>
  <si>
    <t>COTIZACIÓN ACTUALIZADA</t>
  </si>
  <si>
    <t>FACTURA N°</t>
  </si>
  <si>
    <t>Tipo de Cambio</t>
  </si>
  <si>
    <t>RENDICIÓN DE CUENTAS</t>
  </si>
  <si>
    <t>DETALLE</t>
  </si>
  <si>
    <t>USD</t>
  </si>
  <si>
    <t>PESOS</t>
  </si>
  <si>
    <t>FONDEQUIP</t>
  </si>
  <si>
    <t>PECUNIARIO</t>
  </si>
  <si>
    <t>TOTAL</t>
  </si>
  <si>
    <r>
      <t xml:space="preserve">Justifique la elección de la cotización respecto a otros proveedores y a tecnologías similares disponibles en el Mercado:
</t>
    </r>
    <r>
      <rPr>
        <sz val="11"/>
        <color rgb="FF000000"/>
        <rFont val="Calibri"/>
        <family val="2"/>
        <scheme val="minor"/>
      </rPr>
      <t>ECRIBA AQUÍ La selección de la cotización se basa en el hecho de que la empresa Galénica SA es la única que provee una tecnología como la que se requiere</t>
    </r>
    <r>
      <rPr>
        <b/>
        <u/>
        <sz val="11"/>
        <color rgb="FF000000"/>
        <rFont val="Calibri"/>
        <family val="2"/>
        <scheme val="minor"/>
      </rPr>
      <t xml:space="preserve">
</t>
    </r>
  </si>
  <si>
    <t>Galénica SA</t>
  </si>
  <si>
    <r>
      <rPr>
        <b/>
        <u/>
        <sz val="11"/>
        <color theme="1"/>
        <rFont val="Calibri"/>
        <family val="2"/>
        <scheme val="minor"/>
      </rPr>
      <t>Detalle Aportes FONDEQUIP</t>
    </r>
    <r>
      <rPr>
        <sz val="11"/>
        <color theme="1"/>
        <rFont val="Calibri"/>
        <family val="2"/>
        <scheme val="minor"/>
      </rPr>
      <t>: 
El costo total de este item será asumido por FONDEQUIP</t>
    </r>
    <r>
      <rPr>
        <sz val="10.5"/>
        <color theme="1"/>
        <rFont val="Calibri"/>
        <family val="2"/>
        <scheme val="minor"/>
      </rPr>
      <t xml:space="preserve">
</t>
    </r>
  </si>
  <si>
    <r>
      <rPr>
        <b/>
        <u/>
        <sz val="11"/>
        <color theme="1"/>
        <rFont val="Calibri"/>
        <family val="2"/>
        <scheme val="minor"/>
      </rPr>
      <t>Detalle Aportes FONDEQUIP</t>
    </r>
    <r>
      <rPr>
        <sz val="11"/>
        <color theme="1"/>
        <rFont val="Calibri"/>
        <family val="2"/>
        <scheme val="minor"/>
      </rPr>
      <t xml:space="preserve">: 
</t>
    </r>
    <r>
      <rPr>
        <sz val="10.5"/>
        <color theme="1"/>
        <rFont val="Calibri"/>
        <family val="2"/>
        <scheme val="minor"/>
      </rPr>
      <t xml:space="preserve">Se solicitan a FONDEQUIP el financiamiento para adecuación del espacio por $ 2.000.000, requerido para la construcción de un muro de material ligero tipo tabique, más una puerta con su cerradura. 
</t>
    </r>
  </si>
  <si>
    <r>
      <rPr>
        <b/>
        <u/>
        <sz val="11"/>
        <color theme="1"/>
        <rFont val="Calibri"/>
        <family val="2"/>
        <scheme val="minor"/>
      </rPr>
      <t>Detalle Aportes FONDEQUIP</t>
    </r>
    <r>
      <rPr>
        <sz val="11"/>
        <color theme="1"/>
        <rFont val="Calibri"/>
        <family val="2"/>
        <scheme val="minor"/>
      </rPr>
      <t xml:space="preserve">: 
</t>
    </r>
    <r>
      <rPr>
        <sz val="10.5"/>
        <color theme="1"/>
        <rFont val="Calibri"/>
        <family val="2"/>
        <scheme val="minor"/>
      </rPr>
      <t xml:space="preserve">Los costos relacionados a este sub-ítem corresponden a $9.500.000 los   serán financiados por FONDEQUIP
</t>
    </r>
  </si>
  <si>
    <r>
      <rPr>
        <b/>
        <u/>
        <sz val="11"/>
        <color theme="1"/>
        <rFont val="Calibri"/>
        <family val="2"/>
        <scheme val="minor"/>
      </rPr>
      <t>Detalle Aportes Pecuniarios</t>
    </r>
    <r>
      <rPr>
        <sz val="10.5"/>
        <color theme="1"/>
        <rFont val="Calibri"/>
        <family val="2"/>
        <scheme val="minor"/>
      </rPr>
      <t xml:space="preserve">:
</t>
    </r>
  </si>
  <si>
    <r>
      <rPr>
        <b/>
        <u/>
        <sz val="11"/>
        <color theme="1"/>
        <rFont val="Calibri"/>
        <family val="2"/>
        <scheme val="minor"/>
      </rPr>
      <t>Detalle Aportes No Pecuniarios</t>
    </r>
    <r>
      <rPr>
        <sz val="10.5"/>
        <color theme="1"/>
        <rFont val="Calibri"/>
        <family val="2"/>
        <scheme val="minor"/>
      </rPr>
      <t xml:space="preserve">:
Valorización de las horas dedicadas (2 horas semanales por 18 meses) tanto por el coordinador responsable  a la capacitación que sean requeridas por usuarios que no hayan asistido a la capacitación inicial </t>
    </r>
    <r>
      <rPr>
        <sz val="10.5"/>
        <rFont val="Calibri (Body)"/>
      </rPr>
      <t xml:space="preserve">($2.610.000). </t>
    </r>
    <r>
      <rPr>
        <sz val="10.5"/>
        <color theme="1"/>
        <rFont val="Calibri"/>
        <family val="2"/>
        <scheme val="minor"/>
      </rPr>
      <t xml:space="preserve">
</t>
    </r>
  </si>
  <si>
    <r>
      <rPr>
        <b/>
        <u/>
        <sz val="11"/>
        <color theme="1"/>
        <rFont val="Calibri"/>
        <family val="2"/>
        <scheme val="minor"/>
      </rPr>
      <t>Detalle Aportes Pecuniarios</t>
    </r>
    <r>
      <rPr>
        <sz val="10.5"/>
        <color theme="1"/>
        <rFont val="Calibri"/>
        <family val="2"/>
        <scheme val="minor"/>
      </rPr>
      <t>:
De acuerdo a la cotización que se adjunta en la propuesta, la empresa Galenica SA ofrece un servicio de capacitación inicial por un valor de</t>
    </r>
    <r>
      <rPr>
        <sz val="10.5"/>
        <rFont val="Calibri (Body)"/>
      </rPr>
      <t xml:space="preserve"> $500.000</t>
    </r>
    <r>
      <rPr>
        <sz val="10.5"/>
        <rFont val="Calibri"/>
        <family val="2"/>
        <scheme val="minor"/>
      </rPr>
      <t>,</t>
    </r>
    <r>
      <rPr>
        <sz val="10.5"/>
        <color theme="1"/>
        <rFont val="Calibri"/>
        <family val="2"/>
        <scheme val="minor"/>
      </rPr>
      <t xml:space="preserve"> financiado por la institución
</t>
    </r>
  </si>
  <si>
    <r>
      <rPr>
        <b/>
        <u/>
        <sz val="11"/>
        <color theme="1"/>
        <rFont val="Calibri"/>
        <family val="2"/>
        <scheme val="minor"/>
      </rPr>
      <t>Detalle Aportes FONDEQUIP</t>
    </r>
    <r>
      <rPr>
        <sz val="11"/>
        <color theme="1"/>
        <rFont val="Calibri"/>
        <family val="2"/>
        <scheme val="minor"/>
      </rPr>
      <t xml:space="preserve">: 
</t>
    </r>
    <r>
      <rPr>
        <sz val="10.5"/>
        <color theme="1"/>
        <rFont val="Calibri"/>
        <family val="2"/>
        <scheme val="minor"/>
      </rPr>
      <t xml:space="preserve">El costo  por servicio de instalación de $500.000 será de este sub-ítem será asumido por FONDEQUIP. 
</t>
    </r>
  </si>
  <si>
    <r>
      <rPr>
        <b/>
        <u/>
        <sz val="11"/>
        <color theme="1"/>
        <rFont val="Calibri"/>
        <family val="2"/>
        <scheme val="minor"/>
      </rPr>
      <t>Detalle Aportes Pecuniarios</t>
    </r>
    <r>
      <rPr>
        <sz val="10.5"/>
        <color theme="1"/>
        <rFont val="Calibri"/>
        <family val="2"/>
        <scheme val="minor"/>
      </rPr>
      <t xml:space="preserve">:
Se van a destinar $100.000 para la instalación de una placa de metal, acrílico o similar para sala donde se instale el equipo y que señale que éste tuvo financiamiento de FONDEQUIP y el código del proyecto. 
</t>
    </r>
  </si>
  <si>
    <r>
      <rPr>
        <b/>
        <u/>
        <sz val="11"/>
        <color theme="1"/>
        <rFont val="Calibri"/>
        <family val="2"/>
        <scheme val="minor"/>
      </rPr>
      <t>Detalle Aportes No Pecuniarios</t>
    </r>
    <r>
      <rPr>
        <sz val="10.5"/>
        <color theme="1"/>
        <rFont val="Calibri"/>
        <family val="2"/>
        <scheme val="minor"/>
      </rPr>
      <t xml:space="preserve">:
</t>
    </r>
    <r>
      <rPr>
        <sz val="10.5"/>
        <rFont val="Calibri (Body)"/>
      </rPr>
      <t>Valorización de la horas dedicadas a la gestión institucional del proyecto por parte del coordinador resposable del proyecto por 10 horas semanales durante 30 meses ($21.600.000). Valorización de espacio de 20m2 dedicado a la instalación del equipo por 18 meses ($45.675.000). Valorización de uso de espacio por 15m2 durante 18 meses dedicado para la preparación de las muestras previo a la microinyección ($34.256.000). Valorización de uso de equipos para la preparación de muestras previo a la inyección ($6.678.000)</t>
    </r>
    <r>
      <rPr>
        <sz val="10.5"/>
        <color rgb="FFFF0000"/>
        <rFont val="Calibri (Body)"/>
      </rPr>
      <t xml:space="preserve">
</t>
    </r>
    <r>
      <rPr>
        <sz val="10.5"/>
        <color theme="1"/>
        <rFont val="Calibri"/>
        <family val="2"/>
        <scheme val="minor"/>
      </rPr>
      <t xml:space="preserve">
</t>
    </r>
  </si>
  <si>
    <r>
      <rPr>
        <b/>
        <u/>
        <sz val="11"/>
        <color theme="1"/>
        <rFont val="Calibri"/>
        <family val="2"/>
        <scheme val="minor"/>
      </rPr>
      <t>Detalle Aportes No Pecuniarios</t>
    </r>
    <r>
      <rPr>
        <sz val="10.5"/>
        <color theme="1"/>
        <rFont val="Calibri"/>
        <family val="2"/>
        <scheme val="minor"/>
      </rPr>
      <t xml:space="preserve">:
</t>
    </r>
    <r>
      <rPr>
        <sz val="10.5"/>
        <rFont val="Calibri (Body)"/>
      </rPr>
      <t>Valorización de 4.5  horas dedicadas a la gestión institucional del proyecto por parte del ejecutivo de proyecto por 30 meses de dedicación ($4.650.000). Valorización de 4.5 horas del encargado de compras del proyecto asignado por la vicerrectoria de investigación e innovación, por un total de 12 meses  ($2.100.000).</t>
    </r>
    <r>
      <rPr>
        <sz val="10.5"/>
        <color theme="1"/>
        <rFont val="Calibri"/>
        <family val="2"/>
        <scheme val="minor"/>
      </rPr>
      <t xml:space="preserve">
</t>
    </r>
  </si>
  <si>
    <r>
      <rPr>
        <b/>
        <u/>
        <sz val="11"/>
        <color theme="1"/>
        <rFont val="Calibri"/>
        <family val="2"/>
        <scheme val="minor"/>
      </rPr>
      <t>Detalle Aportes Pecuniarios</t>
    </r>
    <r>
      <rPr>
        <sz val="10.5"/>
        <color theme="1"/>
        <rFont val="Calibri"/>
        <family val="2"/>
        <scheme val="minor"/>
      </rPr>
      <t xml:space="preserve">:
Pago de personal técnico (tecnologo médico o bioquímico) por un total de $18.000.000 por 33 horas semanales durante 18 meses de dedicación cuyas funciones serán ser el encargado de la operación del equipo, y de la capacitación de los usuarios del equipo. Se ocupará de mantener una bitácora del uso del equipo y de la gestión de la plataforma para reserva de horas online, registros de tiempo de uso, nombre de usuario/a y fecha. La mantención de rutina del equipo será su responsabilidad.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</si>
</sst>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&quot;$&quot;\ * #,##0_-;\-&quot;$&quot;\ * #,##0_-;_-&quot;$&quot;\ * &quot;-&quot;??_-;_-@_-"/>
    <numFmt numFmtId="167" formatCode="_-* #,##0.00_-;\-* #,##0.00_-;_-* &quot;-&quot;_-;_-@_-"/>
    <numFmt numFmtId="168" formatCode="_-* #,##0.0_-;\-* #,##0.0_-;_-* &quot;-&quot;_-;_-@_-"/>
  </numFmts>
  <fonts count="67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.5"/>
      <color rgb="FFC00000"/>
      <name val="Calibri"/>
      <family val="2"/>
      <scheme val="minor"/>
    </font>
    <font>
      <sz val="10.5"/>
      <color theme="0"/>
      <name val="Calibri"/>
      <family val="2"/>
      <scheme val="minor"/>
    </font>
    <font>
      <b/>
      <sz val="10.5"/>
      <color rgb="FFFF0000"/>
      <name val="Calibri"/>
      <family val="2"/>
      <scheme val="minor"/>
    </font>
    <font>
      <b/>
      <sz val="10.5"/>
      <color theme="0"/>
      <name val="Calibri"/>
      <family val="2"/>
      <scheme val="minor"/>
    </font>
    <font>
      <sz val="10.5"/>
      <name val="Calibri"/>
      <family val="2"/>
      <scheme val="minor"/>
    </font>
    <font>
      <b/>
      <sz val="10.5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.5"/>
      <color rgb="FFFF0000"/>
      <name val="Calibri (Body)"/>
    </font>
    <font>
      <b/>
      <sz val="12"/>
      <color rgb="FF000000"/>
      <name val="Calibri"/>
      <family val="2"/>
      <scheme val="minor"/>
    </font>
    <font>
      <b/>
      <sz val="9"/>
      <color rgb="FF000000"/>
      <name val="Tahoma"/>
      <family val="2"/>
    </font>
    <font>
      <sz val="10.5"/>
      <name val="Calibri (Body)"/>
    </font>
    <font>
      <sz val="10"/>
      <color rgb="FF000000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B8CCE4"/>
        <bgColor rgb="FF000000"/>
      </patternFill>
    </fill>
    <fill>
      <patternFill patternType="solid">
        <fgColor theme="3" tint="-0.249977111117893"/>
        <bgColor rgb="FF000000"/>
      </patternFill>
    </fill>
    <fill>
      <patternFill patternType="solid">
        <fgColor rgb="FFDCE6F1"/>
        <bgColor rgb="FF000000"/>
      </patternFill>
    </fill>
  </fills>
  <borders count="13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double">
        <color theme="3" tint="-0.24994659260841701"/>
      </left>
      <right/>
      <top/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indexed="64"/>
      </left>
      <right style="thin">
        <color indexed="64"/>
      </right>
      <top style="thick">
        <color theme="0"/>
      </top>
      <bottom style="thin">
        <color theme="3" tint="-0.24994659260841701"/>
      </bottom>
      <diagonal/>
    </border>
    <border>
      <left style="thick">
        <color theme="0"/>
      </left>
      <right style="thin">
        <color indexed="64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3" tint="-0.24994659260841701"/>
      </top>
      <bottom style="thin">
        <color theme="3" tint="-0.24994659260841701"/>
      </bottom>
      <diagonal/>
    </border>
    <border>
      <left style="thick">
        <color theme="0"/>
      </left>
      <right style="thin">
        <color indexed="64"/>
      </right>
      <top style="thin">
        <color theme="3" tint="-0.24994659260841701"/>
      </top>
      <bottom style="medium">
        <color theme="0"/>
      </bottom>
      <diagonal/>
    </border>
    <border>
      <left style="thick">
        <color theme="0"/>
      </left>
      <right style="thin">
        <color indexed="64"/>
      </right>
      <top style="medium">
        <color theme="0"/>
      </top>
      <bottom style="thin">
        <color theme="3" tint="-0.24994659260841701"/>
      </bottom>
      <diagonal/>
    </border>
    <border>
      <left style="thick">
        <color theme="0"/>
      </left>
      <right/>
      <top style="thin">
        <color theme="3" tint="-0.24994659260841701"/>
      </top>
      <bottom style="thick">
        <color theme="0"/>
      </bottom>
      <diagonal/>
    </border>
    <border>
      <left style="thin">
        <color theme="0"/>
      </left>
      <right style="medium">
        <color indexed="64"/>
      </right>
      <top style="thin">
        <color theme="3" tint="-0.24994659260841701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0"/>
      </left>
      <right style="thin">
        <color theme="0"/>
      </right>
      <top style="thin">
        <color theme="3" tint="-0.24994659260841701"/>
      </top>
      <bottom style="medium">
        <color indexed="64"/>
      </bottom>
      <diagonal/>
    </border>
    <border>
      <left style="thin">
        <color theme="0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0"/>
      </left>
      <right/>
      <top style="thin">
        <color theme="3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indexed="64"/>
      </left>
      <right style="thin">
        <color theme="0"/>
      </right>
      <top style="thin">
        <color theme="3" tint="-0.24994659260841701"/>
      </top>
      <bottom style="medium">
        <color indexed="64"/>
      </bottom>
      <diagonal/>
    </border>
    <border>
      <left style="medium">
        <color indexed="64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indexed="64"/>
      </left>
      <right/>
      <top style="thin">
        <color theme="3" tint="-0.24994659260841701"/>
      </top>
      <bottom style="medium">
        <color indexed="64"/>
      </bottom>
      <diagonal/>
    </border>
    <border>
      <left style="thin">
        <color theme="0"/>
      </left>
      <right/>
      <top/>
      <bottom style="thin">
        <color theme="3" tint="-0.24994659260841701"/>
      </bottom>
      <diagonal/>
    </border>
    <border>
      <left style="medium">
        <color indexed="64"/>
      </left>
      <right style="thin">
        <color theme="0"/>
      </right>
      <top/>
      <bottom style="thin">
        <color theme="3" tint="-0.24994659260841701"/>
      </bottom>
      <diagonal/>
    </border>
    <border>
      <left style="thin">
        <color theme="0"/>
      </left>
      <right style="medium">
        <color indexed="64"/>
      </right>
      <top/>
      <bottom style="thin">
        <color theme="3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3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3" tint="-0.24994659260841701"/>
      </bottom>
      <diagonal/>
    </border>
    <border>
      <left style="medium">
        <color indexed="64"/>
      </left>
      <right style="thin">
        <color theme="0" tint="-4.9989318521683403E-2"/>
      </right>
      <top style="medium">
        <color indexed="64"/>
      </top>
      <bottom style="thin">
        <color theme="3" tint="-0.2499465926084170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medium">
        <color indexed="64"/>
      </top>
      <bottom style="thin">
        <color theme="3" tint="-0.24994659260841701"/>
      </bottom>
      <diagonal/>
    </border>
    <border>
      <left style="thin">
        <color theme="0" tint="-4.9989318521683403E-2"/>
      </left>
      <right style="medium">
        <color indexed="64"/>
      </right>
      <top style="medium">
        <color indexed="64"/>
      </top>
      <bottom style="thin">
        <color theme="3" tint="-0.24994659260841701"/>
      </bottom>
      <diagonal/>
    </border>
    <border>
      <left style="medium">
        <color indexed="64"/>
      </left>
      <right style="thin">
        <color theme="0" tint="-4.9989318521683403E-2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0" tint="-4.9989318521683403E-2"/>
      </left>
      <right style="medium">
        <color indexed="64"/>
      </right>
      <top style="thin">
        <color theme="3" tint="-0.24994659260841701"/>
      </top>
      <bottom style="thin">
        <color theme="3" tint="-0.24994659260841701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n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 style="double">
        <color theme="3" tint="-0.24994659260841701"/>
      </left>
      <right/>
      <top/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indexed="64"/>
      </left>
      <right/>
      <top style="medium">
        <color theme="0"/>
      </top>
      <bottom/>
      <diagonal/>
    </border>
    <border>
      <left style="thin">
        <color indexed="64"/>
      </left>
      <right/>
      <top style="thick">
        <color theme="0"/>
      </top>
      <bottom style="thick">
        <color theme="0"/>
      </bottom>
      <diagonal/>
    </border>
    <border>
      <left/>
      <right style="thin">
        <color indexed="64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 style="thick">
        <color theme="0"/>
      </right>
      <top/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0"/>
      </top>
      <bottom style="thin">
        <color theme="4" tint="0.79998168889431442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medium">
        <color rgb="FF0066CC"/>
      </left>
      <right/>
      <top style="medium">
        <color rgb="FF0066CC"/>
      </top>
      <bottom/>
      <diagonal/>
    </border>
    <border>
      <left style="medium">
        <color rgb="FF0066CC"/>
      </left>
      <right/>
      <top/>
      <bottom style="medium">
        <color rgb="FF0066CC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medium">
        <color indexed="64"/>
      </right>
      <top style="thin">
        <color theme="3" tint="-0.24994659260841701"/>
      </top>
      <bottom/>
      <diagonal/>
    </border>
    <border>
      <left style="medium">
        <color indexed="64"/>
      </left>
      <right style="thin">
        <color theme="0"/>
      </right>
      <top style="thin">
        <color theme="3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3" tint="-0.24994659260841701"/>
      </top>
      <bottom/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auto="1"/>
      </left>
      <right style="medium">
        <color theme="4" tint="0.79998168889431442"/>
      </right>
      <top style="medium">
        <color auto="1"/>
      </top>
      <bottom style="medium">
        <color theme="4" tint="0.79998168889431442"/>
      </bottom>
      <diagonal/>
    </border>
    <border>
      <left style="medium">
        <color auto="1"/>
      </left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auto="1"/>
      </left>
      <right style="medium">
        <color theme="4" tint="0.79998168889431442"/>
      </right>
      <top style="medium">
        <color theme="4" tint="0.79998168889431442"/>
      </top>
      <bottom style="medium">
        <color auto="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99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9" fillId="8" borderId="76" xfId="0" applyFont="1" applyFill="1" applyBorder="1" applyAlignment="1">
      <alignment horizontal="center" vertical="center" wrapText="1"/>
    </xf>
    <xf numFmtId="0" fontId="9" fillId="8" borderId="77" xfId="0" applyFont="1" applyFill="1" applyBorder="1" applyAlignment="1">
      <alignment horizontal="center" vertical="center" wrapText="1"/>
    </xf>
    <xf numFmtId="0" fontId="9" fillId="8" borderId="70" xfId="0" applyFont="1" applyFill="1" applyBorder="1" applyAlignment="1">
      <alignment horizontal="center" vertical="center" wrapText="1"/>
    </xf>
    <xf numFmtId="0" fontId="9" fillId="8" borderId="71" xfId="0" applyFont="1" applyFill="1" applyBorder="1" applyAlignment="1">
      <alignment horizontal="center" vertical="center" wrapText="1"/>
    </xf>
    <xf numFmtId="0" fontId="10" fillId="5" borderId="45" xfId="0" applyFont="1" applyFill="1" applyBorder="1" applyAlignment="1">
      <alignment horizontal="left" vertical="center" wrapText="1"/>
    </xf>
    <xf numFmtId="166" fontId="9" fillId="8" borderId="78" xfId="0" applyNumberFormat="1" applyFont="1" applyFill="1" applyBorder="1" applyAlignment="1">
      <alignment horizontal="left" vertical="center" wrapText="1"/>
    </xf>
    <xf numFmtId="166" fontId="9" fillId="8" borderId="79" xfId="0" applyNumberFormat="1" applyFont="1" applyFill="1" applyBorder="1" applyAlignment="1">
      <alignment horizontal="left" vertical="center" wrapText="1"/>
    </xf>
    <xf numFmtId="166" fontId="9" fillId="8" borderId="80" xfId="0" applyNumberFormat="1" applyFont="1" applyFill="1" applyBorder="1" applyAlignment="1">
      <alignment horizontal="left" vertical="center" wrapText="1"/>
    </xf>
    <xf numFmtId="166" fontId="11" fillId="5" borderId="46" xfId="0" applyNumberFormat="1" applyFont="1" applyFill="1" applyBorder="1" applyAlignment="1">
      <alignment vertical="center" wrapText="1"/>
    </xf>
    <xf numFmtId="166" fontId="11" fillId="5" borderId="49" xfId="0" applyNumberFormat="1" applyFont="1" applyFill="1" applyBorder="1" applyAlignment="1" applyProtection="1">
      <alignment horizontal="center" vertical="center" wrapText="1"/>
      <protection locked="0"/>
    </xf>
    <xf numFmtId="166" fontId="10" fillId="5" borderId="47" xfId="0" applyNumberFormat="1" applyFont="1" applyFill="1" applyBorder="1" applyAlignment="1">
      <alignment horizontal="center" vertical="center" wrapText="1"/>
    </xf>
    <xf numFmtId="166" fontId="11" fillId="5" borderId="45" xfId="0" applyNumberFormat="1" applyFont="1" applyFill="1" applyBorder="1" applyAlignment="1" applyProtection="1">
      <alignment horizontal="center" vertical="center" wrapText="1"/>
      <protection locked="0"/>
    </xf>
    <xf numFmtId="166" fontId="11" fillId="5" borderId="47" xfId="0" applyNumberFormat="1" applyFont="1" applyFill="1" applyBorder="1" applyAlignment="1">
      <alignment horizontal="center" vertical="center" wrapText="1"/>
    </xf>
    <xf numFmtId="166" fontId="11" fillId="1" borderId="50" xfId="0" applyNumberFormat="1" applyFont="1" applyFill="1" applyBorder="1" applyAlignment="1">
      <alignment horizontal="center" vertical="center" wrapText="1"/>
    </xf>
    <xf numFmtId="166" fontId="11" fillId="1" borderId="51" xfId="0" applyNumberFormat="1" applyFont="1" applyFill="1" applyBorder="1" applyAlignment="1">
      <alignment horizontal="center" vertical="center" wrapText="1"/>
    </xf>
    <xf numFmtId="166" fontId="11" fillId="1" borderId="52" xfId="0" applyNumberFormat="1" applyFont="1" applyFill="1" applyBorder="1" applyAlignment="1">
      <alignment horizontal="center" vertical="center" wrapText="1"/>
    </xf>
    <xf numFmtId="166" fontId="7" fillId="0" borderId="0" xfId="0" applyNumberFormat="1" applyFont="1" applyAlignment="1">
      <alignment vertical="center"/>
    </xf>
    <xf numFmtId="0" fontId="10" fillId="5" borderId="39" xfId="0" applyFont="1" applyFill="1" applyBorder="1" applyAlignment="1">
      <alignment horizontal="left" vertical="center" wrapText="1"/>
    </xf>
    <xf numFmtId="166" fontId="9" fillId="8" borderId="81" xfId="0" applyNumberFormat="1" applyFont="1" applyFill="1" applyBorder="1" applyAlignment="1">
      <alignment horizontal="left" vertical="center" wrapText="1"/>
    </xf>
    <xf numFmtId="166" fontId="9" fillId="8" borderId="72" xfId="0" applyNumberFormat="1" applyFont="1" applyFill="1" applyBorder="1" applyAlignment="1">
      <alignment horizontal="left" vertical="center" wrapText="1"/>
    </xf>
    <xf numFmtId="166" fontId="9" fillId="8" borderId="73" xfId="0" applyNumberFormat="1" applyFont="1" applyFill="1" applyBorder="1" applyAlignment="1">
      <alignment horizontal="left" vertical="center" wrapText="1"/>
    </xf>
    <xf numFmtId="166" fontId="11" fillId="5" borderId="41" xfId="0" applyNumberFormat="1" applyFont="1" applyFill="1" applyBorder="1" applyAlignment="1">
      <alignment vertical="center" wrapText="1"/>
    </xf>
    <xf numFmtId="166" fontId="11" fillId="5" borderId="37" xfId="0" applyNumberFormat="1" applyFont="1" applyFill="1" applyBorder="1" applyAlignment="1" applyProtection="1">
      <alignment horizontal="center" vertical="center" wrapText="1"/>
      <protection locked="0"/>
    </xf>
    <xf numFmtId="166" fontId="10" fillId="5" borderId="29" xfId="0" applyNumberFormat="1" applyFont="1" applyFill="1" applyBorder="1" applyAlignment="1">
      <alignment horizontal="center" vertical="center" wrapText="1"/>
    </xf>
    <xf numFmtId="166" fontId="11" fillId="5" borderId="39" xfId="0" applyNumberFormat="1" applyFont="1" applyFill="1" applyBorder="1" applyAlignment="1" applyProtection="1">
      <alignment horizontal="center" vertical="center" wrapText="1"/>
      <protection locked="0"/>
    </xf>
    <xf numFmtId="166" fontId="11" fillId="5" borderId="29" xfId="0" applyNumberFormat="1" applyFont="1" applyFill="1" applyBorder="1" applyAlignment="1">
      <alignment horizontal="center" vertical="center" wrapText="1"/>
    </xf>
    <xf numFmtId="166" fontId="11" fillId="1" borderId="53" xfId="0" applyNumberFormat="1" applyFont="1" applyFill="1" applyBorder="1" applyAlignment="1">
      <alignment horizontal="center" vertical="center" wrapText="1"/>
    </xf>
    <xf numFmtId="166" fontId="11" fillId="1" borderId="54" xfId="0" applyNumberFormat="1" applyFont="1" applyFill="1" applyBorder="1" applyAlignment="1">
      <alignment horizontal="center" vertical="center" wrapText="1"/>
    </xf>
    <xf numFmtId="166" fontId="11" fillId="1" borderId="55" xfId="0" applyNumberFormat="1" applyFont="1" applyFill="1" applyBorder="1" applyAlignment="1">
      <alignment horizontal="center" vertical="center" wrapText="1"/>
    </xf>
    <xf numFmtId="166" fontId="9" fillId="8" borderId="81" xfId="0" applyNumberFormat="1" applyFont="1" applyFill="1" applyBorder="1" applyAlignment="1">
      <alignment vertical="center" wrapText="1"/>
    </xf>
    <xf numFmtId="166" fontId="9" fillId="8" borderId="72" xfId="0" applyNumberFormat="1" applyFont="1" applyFill="1" applyBorder="1" applyAlignment="1">
      <alignment vertical="center" wrapText="1"/>
    </xf>
    <xf numFmtId="166" fontId="9" fillId="8" borderId="73" xfId="0" applyNumberFormat="1" applyFont="1" applyFill="1" applyBorder="1" applyAlignment="1">
      <alignment vertical="center" wrapText="1"/>
    </xf>
    <xf numFmtId="166" fontId="11" fillId="5" borderId="37" xfId="0" applyNumberFormat="1" applyFont="1" applyFill="1" applyBorder="1" applyAlignment="1" applyProtection="1">
      <alignment vertical="center" wrapText="1"/>
      <protection locked="0"/>
    </xf>
    <xf numFmtId="166" fontId="10" fillId="5" borderId="29" xfId="0" applyNumberFormat="1" applyFont="1" applyFill="1" applyBorder="1" applyAlignment="1">
      <alignment vertical="center" wrapText="1"/>
    </xf>
    <xf numFmtId="166" fontId="11" fillId="5" borderId="41" xfId="5" applyNumberFormat="1" applyFont="1" applyFill="1" applyBorder="1" applyAlignment="1" applyProtection="1">
      <alignment horizontal="center" vertical="center" wrapText="1"/>
    </xf>
    <xf numFmtId="166" fontId="11" fillId="5" borderId="39" xfId="5" applyNumberFormat="1" applyFont="1" applyFill="1" applyBorder="1" applyAlignment="1" applyProtection="1">
      <alignment horizontal="center" vertical="center" wrapText="1"/>
      <protection locked="0"/>
    </xf>
    <xf numFmtId="166" fontId="11" fillId="5" borderId="29" xfId="5" applyNumberFormat="1" applyFont="1" applyFill="1" applyBorder="1" applyAlignment="1" applyProtection="1">
      <alignment horizontal="center" vertical="center" wrapText="1"/>
    </xf>
    <xf numFmtId="9" fontId="7" fillId="0" borderId="0" xfId="8" applyFont="1" applyFill="1" applyAlignment="1" applyProtection="1">
      <alignment vertical="center"/>
    </xf>
    <xf numFmtId="166" fontId="11" fillId="5" borderId="43" xfId="5" applyNumberFormat="1" applyFont="1" applyFill="1" applyBorder="1" applyAlignment="1" applyProtection="1">
      <alignment horizontal="center" vertical="center" wrapText="1"/>
    </xf>
    <xf numFmtId="166" fontId="9" fillId="8" borderId="81" xfId="0" applyNumberFormat="1" applyFont="1" applyFill="1" applyBorder="1" applyAlignment="1">
      <alignment horizontal="center" vertical="center" wrapText="1"/>
    </xf>
    <xf numFmtId="166" fontId="9" fillId="8" borderId="73" xfId="0" applyNumberFormat="1" applyFont="1" applyFill="1" applyBorder="1" applyAlignment="1">
      <alignment horizontal="center" vertical="center" wrapText="1"/>
    </xf>
    <xf numFmtId="166" fontId="9" fillId="8" borderId="81" xfId="5" applyNumberFormat="1" applyFont="1" applyFill="1" applyBorder="1" applyAlignment="1" applyProtection="1">
      <alignment horizontal="left" vertical="center" wrapText="1"/>
    </xf>
    <xf numFmtId="166" fontId="9" fillId="8" borderId="72" xfId="5" applyNumberFormat="1" applyFont="1" applyFill="1" applyBorder="1" applyAlignment="1" applyProtection="1">
      <alignment horizontal="left" vertical="center" wrapText="1"/>
    </xf>
    <xf numFmtId="166" fontId="9" fillId="8" borderId="73" xfId="5" applyNumberFormat="1" applyFont="1" applyFill="1" applyBorder="1" applyAlignment="1" applyProtection="1">
      <alignment horizontal="left" vertical="center" wrapText="1"/>
    </xf>
    <xf numFmtId="166" fontId="11" fillId="1" borderId="41" xfId="0" applyNumberFormat="1" applyFont="1" applyFill="1" applyBorder="1" applyAlignment="1">
      <alignment horizontal="center" vertical="center" wrapText="1"/>
    </xf>
    <xf numFmtId="166" fontId="11" fillId="1" borderId="37" xfId="0" applyNumberFormat="1" applyFont="1" applyFill="1" applyBorder="1" applyAlignment="1">
      <alignment horizontal="center" vertical="center" wrapText="1"/>
    </xf>
    <xf numFmtId="166" fontId="11" fillId="1" borderId="29" xfId="0" applyNumberFormat="1" applyFont="1" applyFill="1" applyBorder="1" applyAlignment="1">
      <alignment horizontal="center" vertical="center" wrapText="1"/>
    </xf>
    <xf numFmtId="166" fontId="9" fillId="8" borderId="82" xfId="5" applyNumberFormat="1" applyFont="1" applyFill="1" applyBorder="1" applyAlignment="1" applyProtection="1">
      <alignment horizontal="left" vertical="center" wrapText="1"/>
    </xf>
    <xf numFmtId="166" fontId="9" fillId="8" borderId="83" xfId="5" applyNumberFormat="1" applyFont="1" applyFill="1" applyBorder="1" applyAlignment="1" applyProtection="1">
      <alignment horizontal="left" vertical="center" wrapText="1"/>
    </xf>
    <xf numFmtId="166" fontId="9" fillId="8" borderId="84" xfId="5" applyNumberFormat="1" applyFont="1" applyFill="1" applyBorder="1" applyAlignment="1" applyProtection="1">
      <alignment horizontal="left" vertical="center" wrapText="1"/>
    </xf>
    <xf numFmtId="166" fontId="11" fillId="1" borderId="110" xfId="0" applyNumberFormat="1" applyFont="1" applyFill="1" applyBorder="1" applyAlignment="1">
      <alignment horizontal="center" vertical="center" wrapText="1"/>
    </xf>
    <xf numFmtId="166" fontId="11" fillId="1" borderId="111" xfId="0" applyNumberFormat="1" applyFont="1" applyFill="1" applyBorder="1" applyAlignment="1">
      <alignment horizontal="center" vertical="center" wrapText="1"/>
    </xf>
    <xf numFmtId="166" fontId="11" fillId="1" borderId="109" xfId="0" applyNumberFormat="1" applyFont="1" applyFill="1" applyBorder="1" applyAlignment="1">
      <alignment horizontal="center" vertical="center" wrapText="1"/>
    </xf>
    <xf numFmtId="0" fontId="10" fillId="5" borderId="40" xfId="0" applyFont="1" applyFill="1" applyBorder="1" applyAlignment="1">
      <alignment horizontal="left" vertical="center" wrapText="1"/>
    </xf>
    <xf numFmtId="166" fontId="11" fillId="1" borderId="42" xfId="0" applyNumberFormat="1" applyFont="1" applyFill="1" applyBorder="1" applyAlignment="1">
      <alignment horizontal="center" vertical="center" wrapText="1"/>
    </xf>
    <xf numFmtId="166" fontId="11" fillId="1" borderId="38" xfId="0" applyNumberFormat="1" applyFont="1" applyFill="1" applyBorder="1" applyAlignment="1">
      <alignment horizontal="center" vertical="center" wrapText="1"/>
    </xf>
    <xf numFmtId="166" fontId="11" fillId="1" borderId="36" xfId="0" applyNumberFormat="1" applyFont="1" applyFill="1" applyBorder="1" applyAlignment="1">
      <alignment horizontal="center" vertical="center" wrapText="1"/>
    </xf>
    <xf numFmtId="166" fontId="11" fillId="5" borderId="42" xfId="5" applyNumberFormat="1" applyFont="1" applyFill="1" applyBorder="1" applyAlignment="1" applyProtection="1">
      <alignment horizontal="center" vertical="center" wrapText="1"/>
    </xf>
    <xf numFmtId="166" fontId="11" fillId="5" borderId="40" xfId="5" applyNumberFormat="1" applyFont="1" applyFill="1" applyBorder="1" applyAlignment="1" applyProtection="1">
      <alignment horizontal="center" vertical="center" wrapText="1"/>
      <protection locked="0"/>
    </xf>
    <xf numFmtId="166" fontId="11" fillId="5" borderId="36" xfId="5" applyNumberFormat="1" applyFont="1" applyFill="1" applyBorder="1" applyAlignment="1" applyProtection="1">
      <alignment horizontal="center" vertical="center" wrapText="1"/>
    </xf>
    <xf numFmtId="166" fontId="11" fillId="5" borderId="44" xfId="5" applyNumberFormat="1" applyFont="1" applyFill="1" applyBorder="1" applyAlignment="1" applyProtection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166" fontId="9" fillId="8" borderId="77" xfId="0" applyNumberFormat="1" applyFont="1" applyFill="1" applyBorder="1" applyAlignment="1">
      <alignment horizontal="center" vertical="center" wrapText="1"/>
    </xf>
    <xf numFmtId="166" fontId="9" fillId="8" borderId="70" xfId="0" applyNumberFormat="1" applyFont="1" applyFill="1" applyBorder="1" applyAlignment="1">
      <alignment horizontal="center" vertical="center" wrapText="1"/>
    </xf>
    <xf numFmtId="166" fontId="9" fillId="8" borderId="71" xfId="0" applyNumberFormat="1" applyFont="1" applyFill="1" applyBorder="1" applyAlignment="1">
      <alignment horizontal="center" vertical="center" wrapText="1"/>
    </xf>
    <xf numFmtId="166" fontId="9" fillId="8" borderId="76" xfId="0" applyNumberFormat="1" applyFont="1" applyFill="1" applyBorder="1" applyAlignment="1">
      <alignment horizontal="center" vertical="center" wrapText="1"/>
    </xf>
    <xf numFmtId="166" fontId="9" fillId="8" borderId="15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9" fontId="6" fillId="0" borderId="0" xfId="8" applyFont="1" applyFill="1" applyAlignment="1" applyProtection="1">
      <alignment horizontal="center" vertical="center" wrapText="1"/>
    </xf>
    <xf numFmtId="0" fontId="9" fillId="7" borderId="0" xfId="0" applyFont="1" applyFill="1" applyAlignment="1">
      <alignment horizontal="center" vertical="center"/>
    </xf>
    <xf numFmtId="0" fontId="9" fillId="7" borderId="4" xfId="0" applyFont="1" applyFill="1" applyBorder="1" applyAlignment="1">
      <alignment vertical="center"/>
    </xf>
    <xf numFmtId="166" fontId="9" fillId="7" borderId="4" xfId="0" applyNumberFormat="1" applyFont="1" applyFill="1" applyBorder="1" applyAlignment="1">
      <alignment vertical="center"/>
    </xf>
    <xf numFmtId="166" fontId="12" fillId="5" borderId="4" xfId="0" applyNumberFormat="1" applyFont="1" applyFill="1" applyBorder="1" applyAlignment="1">
      <alignment vertical="center"/>
    </xf>
    <xf numFmtId="9" fontId="12" fillId="5" borderId="4" xfId="8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9" fillId="7" borderId="8" xfId="0" applyFont="1" applyFill="1" applyBorder="1" applyAlignment="1">
      <alignment vertical="center"/>
    </xf>
    <xf numFmtId="166" fontId="9" fillId="7" borderId="7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9" fillId="8" borderId="70" xfId="0" applyFont="1" applyFill="1" applyBorder="1" applyAlignment="1" applyProtection="1">
      <alignment horizontal="center" vertical="center" wrapText="1"/>
      <protection locked="0"/>
    </xf>
    <xf numFmtId="166" fontId="9" fillId="8" borderId="72" xfId="0" applyNumberFormat="1" applyFont="1" applyFill="1" applyBorder="1" applyAlignment="1">
      <alignment horizontal="center" vertical="center" wrapText="1"/>
    </xf>
    <xf numFmtId="166" fontId="11" fillId="1" borderId="41" xfId="0" applyNumberFormat="1" applyFont="1" applyFill="1" applyBorder="1" applyAlignment="1">
      <alignment vertical="center" wrapText="1"/>
    </xf>
    <xf numFmtId="166" fontId="11" fillId="1" borderId="37" xfId="0" applyNumberFormat="1" applyFont="1" applyFill="1" applyBorder="1" applyAlignment="1" applyProtection="1">
      <alignment vertical="center" wrapText="1"/>
      <protection locked="0"/>
    </xf>
    <xf numFmtId="166" fontId="10" fillId="1" borderId="29" xfId="0" applyNumberFormat="1" applyFont="1" applyFill="1" applyBorder="1" applyAlignment="1">
      <alignment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16" fillId="8" borderId="115" xfId="0" applyFont="1" applyFill="1" applyBorder="1" applyAlignment="1">
      <alignment horizontal="center" vertical="center"/>
    </xf>
    <xf numFmtId="0" fontId="16" fillId="8" borderId="74" xfId="0" applyFont="1" applyFill="1" applyBorder="1" applyAlignment="1">
      <alignment horizontal="center" vertical="center" wrapText="1"/>
    </xf>
    <xf numFmtId="0" fontId="16" fillId="8" borderId="72" xfId="0" applyFont="1" applyFill="1" applyBorder="1" applyAlignment="1">
      <alignment horizontal="center" vertical="center" wrapText="1"/>
    </xf>
    <xf numFmtId="0" fontId="16" fillId="8" borderId="73" xfId="0" applyFont="1" applyFill="1" applyBorder="1" applyAlignment="1">
      <alignment horizontal="center" vertical="center" wrapText="1"/>
    </xf>
    <xf numFmtId="166" fontId="16" fillId="8" borderId="85" xfId="0" applyNumberFormat="1" applyFont="1" applyFill="1" applyBorder="1" applyAlignment="1">
      <alignment vertical="center" wrapText="1"/>
    </xf>
    <xf numFmtId="0" fontId="14" fillId="0" borderId="0" xfId="0" applyFont="1" applyAlignment="1">
      <alignment vertical="center"/>
    </xf>
    <xf numFmtId="0" fontId="16" fillId="8" borderId="77" xfId="0" applyFont="1" applyFill="1" applyBorder="1" applyAlignment="1">
      <alignment horizontal="center" vertical="center"/>
    </xf>
    <xf numFmtId="166" fontId="16" fillId="8" borderId="70" xfId="0" applyNumberFormat="1" applyFont="1" applyFill="1" applyBorder="1" applyAlignment="1">
      <alignment horizontal="center" vertical="center" wrapText="1"/>
    </xf>
    <xf numFmtId="166" fontId="16" fillId="8" borderId="71" xfId="0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9" fontId="15" fillId="0" borderId="0" xfId="8" applyFont="1" applyFill="1" applyAlignment="1" applyProtection="1">
      <alignment horizontal="center" vertical="center" wrapText="1"/>
    </xf>
    <xf numFmtId="0" fontId="16" fillId="0" borderId="0" xfId="0" applyFont="1" applyAlignment="1">
      <alignment horizontal="center" vertical="center"/>
    </xf>
    <xf numFmtId="166" fontId="22" fillId="1" borderId="47" xfId="0" applyNumberFormat="1" applyFont="1" applyFill="1" applyBorder="1" applyAlignment="1">
      <alignment horizontal="center" vertical="center" wrapText="1"/>
    </xf>
    <xf numFmtId="166" fontId="22" fillId="1" borderId="29" xfId="0" applyNumberFormat="1" applyFont="1" applyFill="1" applyBorder="1" applyAlignment="1">
      <alignment horizontal="center" vertical="center" wrapText="1"/>
    </xf>
    <xf numFmtId="0" fontId="18" fillId="8" borderId="0" xfId="0" applyFont="1" applyFill="1" applyAlignment="1">
      <alignment horizontal="center" vertical="center"/>
    </xf>
    <xf numFmtId="0" fontId="23" fillId="0" borderId="0" xfId="0" applyFont="1" applyAlignment="1">
      <alignment vertical="center"/>
    </xf>
    <xf numFmtId="0" fontId="8" fillId="8" borderId="0" xfId="0" applyFont="1" applyFill="1" applyAlignment="1">
      <alignment horizontal="center" vertical="center"/>
    </xf>
    <xf numFmtId="0" fontId="24" fillId="0" borderId="0" xfId="0" applyFont="1" applyAlignment="1">
      <alignment vertical="center"/>
    </xf>
    <xf numFmtId="0" fontId="19" fillId="8" borderId="0" xfId="0" applyFont="1" applyFill="1" applyAlignment="1">
      <alignment vertical="center"/>
    </xf>
    <xf numFmtId="0" fontId="14" fillId="0" borderId="0" xfId="0" applyFont="1" applyAlignment="1">
      <alignment horizontal="justify" vertical="center" wrapText="1"/>
    </xf>
    <xf numFmtId="0" fontId="14" fillId="8" borderId="0" xfId="0" applyFont="1" applyFill="1" applyAlignment="1">
      <alignment vertical="center"/>
    </xf>
    <xf numFmtId="0" fontId="0" fillId="8" borderId="0" xfId="0" applyFill="1" applyAlignment="1">
      <alignment vertical="center"/>
    </xf>
    <xf numFmtId="0" fontId="0" fillId="0" borderId="0" xfId="0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24" fillId="8" borderId="0" xfId="0" applyFont="1" applyFill="1" applyAlignment="1">
      <alignment vertical="center"/>
    </xf>
    <xf numFmtId="0" fontId="26" fillId="8" borderId="0" xfId="0" applyFont="1" applyFill="1" applyAlignment="1">
      <alignment vertical="center" wrapText="1"/>
    </xf>
    <xf numFmtId="0" fontId="26" fillId="0" borderId="0" xfId="0" applyFont="1" applyAlignment="1">
      <alignment vertical="center" wrapText="1"/>
    </xf>
    <xf numFmtId="0" fontId="24" fillId="0" borderId="0" xfId="0" applyFont="1" applyAlignment="1">
      <alignment horizontal="justify" vertical="center" wrapText="1"/>
    </xf>
    <xf numFmtId="0" fontId="0" fillId="2" borderId="0" xfId="0" applyFill="1" applyAlignment="1">
      <alignment vertical="center"/>
    </xf>
    <xf numFmtId="0" fontId="0" fillId="8" borderId="67" xfId="0" applyFill="1" applyBorder="1" applyAlignment="1">
      <alignment vertical="center"/>
    </xf>
    <xf numFmtId="0" fontId="0" fillId="8" borderId="62" xfId="0" applyFill="1" applyBorder="1" applyAlignment="1">
      <alignment vertical="center"/>
    </xf>
    <xf numFmtId="0" fontId="0" fillId="8" borderId="68" xfId="0" applyFill="1" applyBorder="1" applyAlignment="1">
      <alignment vertical="center"/>
    </xf>
    <xf numFmtId="0" fontId="0" fillId="0" borderId="28" xfId="0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29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8" fillId="8" borderId="13" xfId="0" applyFont="1" applyFill="1" applyBorder="1" applyAlignment="1">
      <alignment vertical="center" wrapText="1"/>
    </xf>
    <xf numFmtId="0" fontId="30" fillId="0" borderId="0" xfId="0" applyFont="1" applyAlignment="1">
      <alignment vertical="center"/>
    </xf>
    <xf numFmtId="164" fontId="30" fillId="0" borderId="0" xfId="6" applyFont="1" applyAlignment="1">
      <alignment vertical="center"/>
    </xf>
    <xf numFmtId="164" fontId="32" fillId="0" borderId="0" xfId="6" applyFont="1" applyAlignment="1">
      <alignment vertical="center"/>
    </xf>
    <xf numFmtId="164" fontId="33" fillId="0" borderId="0" xfId="6" applyFont="1" applyBorder="1" applyAlignment="1">
      <alignment vertical="center"/>
    </xf>
    <xf numFmtId="164" fontId="30" fillId="0" borderId="0" xfId="6" applyFont="1" applyAlignment="1">
      <alignment horizontal="right" vertical="center"/>
    </xf>
    <xf numFmtId="164" fontId="33" fillId="0" borderId="0" xfId="6" applyFont="1" applyAlignment="1">
      <alignment vertical="center"/>
    </xf>
    <xf numFmtId="164" fontId="30" fillId="0" borderId="0" xfId="6" applyFont="1" applyBorder="1" applyAlignment="1">
      <alignment vertical="center"/>
    </xf>
    <xf numFmtId="10" fontId="30" fillId="0" borderId="0" xfId="8" applyNumberFormat="1" applyFont="1" applyBorder="1" applyAlignment="1">
      <alignment vertical="center"/>
    </xf>
    <xf numFmtId="0" fontId="30" fillId="2" borderId="0" xfId="0" applyFont="1" applyFill="1" applyAlignment="1">
      <alignment vertical="center"/>
    </xf>
    <xf numFmtId="0" fontId="30" fillId="8" borderId="2" xfId="0" applyFont="1" applyFill="1" applyBorder="1" applyAlignment="1">
      <alignment vertical="center"/>
    </xf>
    <xf numFmtId="0" fontId="34" fillId="8" borderId="56" xfId="0" applyFont="1" applyFill="1" applyBorder="1" applyAlignment="1">
      <alignment vertical="center"/>
    </xf>
    <xf numFmtId="0" fontId="30" fillId="8" borderId="58" xfId="0" applyFont="1" applyFill="1" applyBorder="1" applyAlignment="1">
      <alignment vertical="center"/>
    </xf>
    <xf numFmtId="0" fontId="30" fillId="8" borderId="1" xfId="0" applyFont="1" applyFill="1" applyBorder="1" applyAlignment="1">
      <alignment vertical="center"/>
    </xf>
    <xf numFmtId="0" fontId="30" fillId="8" borderId="26" xfId="0" applyFont="1" applyFill="1" applyBorder="1" applyAlignment="1">
      <alignment vertical="center"/>
    </xf>
    <xf numFmtId="0" fontId="35" fillId="8" borderId="57" xfId="0" applyFont="1" applyFill="1" applyBorder="1" applyAlignment="1">
      <alignment horizontal="center" vertical="center"/>
    </xf>
    <xf numFmtId="0" fontId="35" fillId="8" borderId="61" xfId="0" applyFont="1" applyFill="1" applyBorder="1" applyAlignment="1">
      <alignment horizontal="center" vertical="center"/>
    </xf>
    <xf numFmtId="0" fontId="30" fillId="8" borderId="0" xfId="0" applyFont="1" applyFill="1" applyAlignment="1">
      <alignment vertical="center"/>
    </xf>
    <xf numFmtId="0" fontId="36" fillId="0" borderId="0" xfId="0" applyFont="1" applyAlignment="1">
      <alignment vertical="center" wrapText="1"/>
    </xf>
    <xf numFmtId="0" fontId="30" fillId="8" borderId="69" xfId="0" applyFont="1" applyFill="1" applyBorder="1" applyAlignment="1">
      <alignment vertical="center"/>
    </xf>
    <xf numFmtId="0" fontId="30" fillId="8" borderId="0" xfId="0" applyFont="1" applyFill="1" applyAlignment="1">
      <alignment vertical="center" wrapText="1"/>
    </xf>
    <xf numFmtId="0" fontId="31" fillId="8" borderId="1" xfId="0" applyFont="1" applyFill="1" applyBorder="1" applyAlignment="1">
      <alignment horizontal="center" vertical="center" wrapText="1"/>
    </xf>
    <xf numFmtId="166" fontId="30" fillId="8" borderId="63" xfId="0" applyNumberFormat="1" applyFont="1" applyFill="1" applyBorder="1" applyAlignment="1">
      <alignment vertical="center"/>
    </xf>
    <xf numFmtId="166" fontId="30" fillId="8" borderId="64" xfId="0" applyNumberFormat="1" applyFont="1" applyFill="1" applyBorder="1" applyAlignment="1">
      <alignment vertical="center"/>
    </xf>
    <xf numFmtId="166" fontId="31" fillId="0" borderId="0" xfId="0" applyNumberFormat="1" applyFont="1" applyAlignment="1">
      <alignment horizontal="center" vertical="center" wrapText="1"/>
    </xf>
    <xf numFmtId="166" fontId="31" fillId="8" borderId="1" xfId="0" applyNumberFormat="1" applyFont="1" applyFill="1" applyBorder="1" applyAlignment="1">
      <alignment vertical="center" wrapText="1"/>
    </xf>
    <xf numFmtId="166" fontId="30" fillId="8" borderId="65" xfId="0" applyNumberFormat="1" applyFont="1" applyFill="1" applyBorder="1" applyAlignment="1">
      <alignment vertical="center"/>
    </xf>
    <xf numFmtId="166" fontId="30" fillId="8" borderId="66" xfId="0" applyNumberFormat="1" applyFont="1" applyFill="1" applyBorder="1" applyAlignment="1">
      <alignment vertical="center"/>
    </xf>
    <xf numFmtId="0" fontId="31" fillId="8" borderId="4" xfId="0" applyFont="1" applyFill="1" applyBorder="1" applyAlignment="1">
      <alignment horizontal="center" vertical="center"/>
    </xf>
    <xf numFmtId="0" fontId="31" fillId="8" borderId="4" xfId="0" applyFont="1" applyFill="1" applyBorder="1" applyAlignment="1">
      <alignment horizontal="center" vertical="center" wrapText="1"/>
    </xf>
    <xf numFmtId="166" fontId="31" fillId="8" borderId="4" xfId="0" applyNumberFormat="1" applyFont="1" applyFill="1" applyBorder="1" applyAlignment="1">
      <alignment horizontal="center" vertical="center" wrapText="1"/>
    </xf>
    <xf numFmtId="166" fontId="31" fillId="8" borderId="0" xfId="0" applyNumberFormat="1" applyFont="1" applyFill="1" applyAlignment="1">
      <alignment vertical="center" wrapText="1"/>
    </xf>
    <xf numFmtId="0" fontId="30" fillId="8" borderId="16" xfId="0" applyFont="1" applyFill="1" applyBorder="1" applyAlignment="1">
      <alignment vertical="center"/>
    </xf>
    <xf numFmtId="0" fontId="30" fillId="8" borderId="11" xfId="0" applyFont="1" applyFill="1" applyBorder="1" applyAlignment="1">
      <alignment vertical="center"/>
    </xf>
    <xf numFmtId="0" fontId="35" fillId="8" borderId="12" xfId="0" applyFont="1" applyFill="1" applyBorder="1" applyAlignment="1">
      <alignment vertical="center" wrapText="1"/>
    </xf>
    <xf numFmtId="166" fontId="31" fillId="8" borderId="14" xfId="0" applyNumberFormat="1" applyFont="1" applyFill="1" applyBorder="1" applyAlignment="1">
      <alignment vertical="center" wrapText="1"/>
    </xf>
    <xf numFmtId="0" fontId="0" fillId="8" borderId="58" xfId="0" applyFill="1" applyBorder="1" applyAlignment="1">
      <alignment vertical="center"/>
    </xf>
    <xf numFmtId="0" fontId="0" fillId="8" borderId="56" xfId="0" applyFill="1" applyBorder="1" applyAlignment="1">
      <alignment vertical="center"/>
    </xf>
    <xf numFmtId="3" fontId="25" fillId="6" borderId="4" xfId="0" applyNumberFormat="1" applyFont="1" applyFill="1" applyBorder="1" applyAlignment="1">
      <alignment vertical="center"/>
    </xf>
    <xf numFmtId="0" fontId="38" fillId="8" borderId="58" xfId="0" applyFont="1" applyFill="1" applyBorder="1" applyAlignment="1">
      <alignment horizontal="center" vertical="top"/>
    </xf>
    <xf numFmtId="0" fontId="18" fillId="8" borderId="0" xfId="0" applyFont="1" applyFill="1" applyAlignment="1">
      <alignment vertical="center"/>
    </xf>
    <xf numFmtId="0" fontId="39" fillId="8" borderId="0" xfId="0" applyFont="1" applyFill="1" applyAlignment="1">
      <alignment horizontal="center" vertical="center"/>
    </xf>
    <xf numFmtId="41" fontId="28" fillId="6" borderId="18" xfId="3" applyFont="1" applyFill="1" applyBorder="1" applyAlignment="1" applyProtection="1">
      <alignment vertical="center"/>
    </xf>
    <xf numFmtId="9" fontId="28" fillId="6" borderId="18" xfId="8" applyFont="1" applyFill="1" applyBorder="1" applyAlignment="1" applyProtection="1">
      <alignment vertical="center"/>
    </xf>
    <xf numFmtId="41" fontId="25" fillId="10" borderId="4" xfId="3" applyFont="1" applyFill="1" applyBorder="1" applyAlignment="1" applyProtection="1">
      <alignment vertical="center"/>
    </xf>
    <xf numFmtId="0" fontId="40" fillId="8" borderId="58" xfId="0" applyFont="1" applyFill="1" applyBorder="1" applyAlignment="1">
      <alignment horizontal="center" vertical="top"/>
    </xf>
    <xf numFmtId="41" fontId="28" fillId="6" borderId="4" xfId="3" applyFont="1" applyFill="1" applyBorder="1" applyAlignment="1" applyProtection="1">
      <alignment vertical="center"/>
    </xf>
    <xf numFmtId="9" fontId="28" fillId="6" borderId="4" xfId="8" applyFont="1" applyFill="1" applyBorder="1" applyAlignment="1" applyProtection="1">
      <alignment vertical="center"/>
    </xf>
    <xf numFmtId="166" fontId="20" fillId="8" borderId="56" xfId="0" applyNumberFormat="1" applyFont="1" applyFill="1" applyBorder="1" applyAlignment="1">
      <alignment vertical="center" wrapText="1"/>
    </xf>
    <xf numFmtId="166" fontId="43" fillId="8" borderId="0" xfId="0" applyNumberFormat="1" applyFont="1" applyFill="1" applyAlignment="1">
      <alignment horizontal="center" vertical="center"/>
    </xf>
    <xf numFmtId="0" fontId="0" fillId="8" borderId="59" xfId="0" applyFill="1" applyBorder="1" applyAlignment="1">
      <alignment vertical="center"/>
    </xf>
    <xf numFmtId="0" fontId="0" fillId="8" borderId="25" xfId="0" applyFill="1" applyBorder="1" applyAlignment="1">
      <alignment vertical="center"/>
    </xf>
    <xf numFmtId="166" fontId="19" fillId="8" borderId="25" xfId="0" applyNumberFormat="1" applyFont="1" applyFill="1" applyBorder="1" applyAlignment="1">
      <alignment horizontal="center" vertical="center"/>
    </xf>
    <xf numFmtId="0" fontId="0" fillId="8" borderId="26" xfId="0" applyFill="1" applyBorder="1" applyAlignment="1">
      <alignment vertical="center"/>
    </xf>
    <xf numFmtId="0" fontId="0" fillId="8" borderId="60" xfId="0" applyFill="1" applyBorder="1" applyAlignment="1">
      <alignment vertical="center"/>
    </xf>
    <xf numFmtId="166" fontId="19" fillId="8" borderId="0" xfId="0" applyNumberFormat="1" applyFont="1" applyFill="1" applyAlignment="1">
      <alignment horizontal="center" vertical="center"/>
    </xf>
    <xf numFmtId="0" fontId="0" fillId="8" borderId="61" xfId="0" applyFill="1" applyBorder="1" applyAlignment="1">
      <alignment vertical="center"/>
    </xf>
    <xf numFmtId="0" fontId="40" fillId="8" borderId="60" xfId="0" applyFont="1" applyFill="1" applyBorder="1" applyAlignment="1">
      <alignment vertical="center"/>
    </xf>
    <xf numFmtId="166" fontId="20" fillId="8" borderId="0" xfId="0" applyNumberFormat="1" applyFont="1" applyFill="1" applyAlignment="1">
      <alignment vertical="center" wrapText="1"/>
    </xf>
    <xf numFmtId="0" fontId="0" fillId="8" borderId="0" xfId="0" applyFill="1" applyAlignment="1">
      <alignment horizontal="left" vertical="center"/>
    </xf>
    <xf numFmtId="166" fontId="15" fillId="8" borderId="0" xfId="0" applyNumberFormat="1" applyFont="1" applyFill="1" applyAlignment="1">
      <alignment horizontal="center" vertical="center"/>
    </xf>
    <xf numFmtId="0" fontId="0" fillId="8" borderId="27" xfId="0" applyFill="1" applyBorder="1" applyAlignment="1">
      <alignment vertical="center"/>
    </xf>
    <xf numFmtId="0" fontId="0" fillId="8" borderId="25" xfId="0" applyFill="1" applyBorder="1" applyAlignment="1">
      <alignment horizontal="left" vertical="center"/>
    </xf>
    <xf numFmtId="41" fontId="44" fillId="8" borderId="25" xfId="3" applyFont="1" applyFill="1" applyBorder="1" applyAlignment="1" applyProtection="1">
      <alignment horizontal="center" vertical="center"/>
    </xf>
    <xf numFmtId="166" fontId="20" fillId="8" borderId="26" xfId="0" applyNumberFormat="1" applyFont="1" applyFill="1" applyBorder="1" applyAlignment="1">
      <alignment vertical="center" wrapText="1"/>
    </xf>
    <xf numFmtId="166" fontId="4" fillId="8" borderId="0" xfId="0" applyNumberFormat="1" applyFont="1" applyFill="1" applyAlignment="1">
      <alignment horizontal="center" vertical="center" wrapText="1"/>
    </xf>
    <xf numFmtId="0" fontId="16" fillId="8" borderId="87" xfId="0" applyFont="1" applyFill="1" applyBorder="1" applyAlignment="1">
      <alignment horizontal="center" vertical="center" wrapText="1"/>
    </xf>
    <xf numFmtId="0" fontId="0" fillId="2" borderId="27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19" fillId="2" borderId="25" xfId="0" applyFont="1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0" borderId="25" xfId="0" applyBorder="1" applyAlignment="1">
      <alignment vertical="center"/>
    </xf>
    <xf numFmtId="0" fontId="45" fillId="0" borderId="0" xfId="0" applyFont="1" applyAlignment="1">
      <alignment vertical="center"/>
    </xf>
    <xf numFmtId="0" fontId="8" fillId="8" borderId="0" xfId="0" applyFont="1" applyFill="1" applyAlignment="1">
      <alignment vertical="center"/>
    </xf>
    <xf numFmtId="0" fontId="14" fillId="8" borderId="13" xfId="0" applyFont="1" applyFill="1" applyBorder="1" applyAlignment="1">
      <alignment horizontal="justify" vertical="center" wrapText="1"/>
    </xf>
    <xf numFmtId="0" fontId="14" fillId="8" borderId="5" xfId="0" applyFont="1" applyFill="1" applyBorder="1" applyAlignment="1">
      <alignment horizontal="justify" vertical="center" wrapText="1"/>
    </xf>
    <xf numFmtId="0" fontId="16" fillId="8" borderId="5" xfId="0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horizontal="justify" vertical="center" wrapText="1"/>
    </xf>
    <xf numFmtId="0" fontId="14" fillId="3" borderId="0" xfId="0" applyFont="1" applyFill="1" applyAlignment="1">
      <alignment horizontal="justify" vertical="center" wrapText="1"/>
    </xf>
    <xf numFmtId="0" fontId="14" fillId="8" borderId="2" xfId="0" applyFont="1" applyFill="1" applyBorder="1" applyAlignment="1">
      <alignment horizontal="justify" vertical="center" wrapText="1"/>
    </xf>
    <xf numFmtId="0" fontId="2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8" borderId="0" xfId="0" applyFont="1" applyFill="1" applyAlignment="1">
      <alignment horizontal="justify" vertical="center" wrapText="1"/>
    </xf>
    <xf numFmtId="0" fontId="14" fillId="8" borderId="1" xfId="0" applyFont="1" applyFill="1" applyBorder="1" applyAlignment="1">
      <alignment horizontal="justify" vertical="center" wrapText="1"/>
    </xf>
    <xf numFmtId="0" fontId="14" fillId="8" borderId="2" xfId="0" applyFont="1" applyFill="1" applyBorder="1" applyAlignment="1">
      <alignment vertical="center"/>
    </xf>
    <xf numFmtId="0" fontId="14" fillId="8" borderId="1" xfId="0" applyFont="1" applyFill="1" applyBorder="1" applyAlignment="1">
      <alignment vertical="center"/>
    </xf>
    <xf numFmtId="0" fontId="13" fillId="8" borderId="4" xfId="0" applyFont="1" applyFill="1" applyBorder="1" applyAlignment="1">
      <alignment horizontal="center" vertical="center" wrapText="1"/>
    </xf>
    <xf numFmtId="165" fontId="20" fillId="4" borderId="4" xfId="5" applyFont="1" applyFill="1" applyBorder="1" applyAlignment="1" applyProtection="1">
      <alignment horizontal="justify" vertical="center" wrapText="1"/>
    </xf>
    <xf numFmtId="0" fontId="20" fillId="4" borderId="4" xfId="0" applyFont="1" applyFill="1" applyBorder="1" applyAlignment="1">
      <alignment horizontal="center" vertical="center" wrapText="1"/>
    </xf>
    <xf numFmtId="166" fontId="25" fillId="0" borderId="4" xfId="5" applyNumberFormat="1" applyFont="1" applyFill="1" applyBorder="1" applyAlignment="1" applyProtection="1">
      <alignment horizontal="justify" vertical="center" wrapText="1"/>
    </xf>
    <xf numFmtId="0" fontId="16" fillId="8" borderId="0" xfId="0" applyFont="1" applyFill="1" applyAlignment="1">
      <alignment horizontal="justify" vertical="center" wrapText="1"/>
    </xf>
    <xf numFmtId="0" fontId="5" fillId="0" borderId="0" xfId="0" applyFont="1"/>
    <xf numFmtId="0" fontId="48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Alignment="1">
      <alignment horizontal="center" vertical="center" wrapText="1"/>
    </xf>
    <xf numFmtId="0" fontId="35" fillId="8" borderId="129" xfId="0" applyFont="1" applyFill="1" applyBorder="1" applyAlignment="1">
      <alignment horizontal="center" vertical="center"/>
    </xf>
    <xf numFmtId="0" fontId="35" fillId="8" borderId="131" xfId="0" applyFont="1" applyFill="1" applyBorder="1" applyAlignment="1">
      <alignment horizontal="center" vertical="center" wrapText="1"/>
    </xf>
    <xf numFmtId="0" fontId="35" fillId="8" borderId="125" xfId="0" applyFont="1" applyFill="1" applyBorder="1" applyAlignment="1">
      <alignment horizontal="center" vertical="center" wrapText="1"/>
    </xf>
    <xf numFmtId="0" fontId="35" fillId="8" borderId="126" xfId="0" applyFont="1" applyFill="1" applyBorder="1" applyAlignment="1">
      <alignment horizontal="center" vertical="center" wrapText="1"/>
    </xf>
    <xf numFmtId="166" fontId="35" fillId="8" borderId="132" xfId="0" applyNumberFormat="1" applyFont="1" applyFill="1" applyBorder="1" applyAlignment="1">
      <alignment vertical="center" wrapText="1"/>
    </xf>
    <xf numFmtId="166" fontId="36" fillId="1" borderId="133" xfId="0" applyNumberFormat="1" applyFont="1" applyFill="1" applyBorder="1" applyAlignment="1">
      <alignment horizontal="center" vertical="center" wrapText="1"/>
    </xf>
    <xf numFmtId="166" fontId="30" fillId="0" borderId="0" xfId="0" applyNumberFormat="1" applyFont="1" applyAlignment="1">
      <alignment vertical="center"/>
    </xf>
    <xf numFmtId="166" fontId="35" fillId="8" borderId="122" xfId="0" applyNumberFormat="1" applyFont="1" applyFill="1" applyBorder="1" applyAlignment="1">
      <alignment vertical="center" wrapText="1"/>
    </xf>
    <xf numFmtId="166" fontId="36" fillId="1" borderId="123" xfId="0" applyNumberFormat="1" applyFont="1" applyFill="1" applyBorder="1" applyAlignment="1">
      <alignment horizontal="center" vertical="center" wrapText="1"/>
    </xf>
    <xf numFmtId="9" fontId="30" fillId="0" borderId="0" xfId="8" applyFont="1" applyFill="1" applyAlignment="1" applyProtection="1">
      <alignment vertical="center"/>
    </xf>
    <xf numFmtId="166" fontId="35" fillId="8" borderId="122" xfId="0" applyNumberFormat="1" applyFont="1" applyFill="1" applyBorder="1" applyAlignment="1">
      <alignment horizontal="center" vertical="center" wrapText="1"/>
    </xf>
    <xf numFmtId="166" fontId="35" fillId="8" borderId="122" xfId="5" applyNumberFormat="1" applyFont="1" applyFill="1" applyBorder="1" applyAlignment="1" applyProtection="1">
      <alignment horizontal="left" vertical="center" wrapText="1"/>
    </xf>
    <xf numFmtId="166" fontId="36" fillId="1" borderId="4" xfId="0" applyNumberFormat="1" applyFont="1" applyFill="1" applyBorder="1" applyAlignment="1">
      <alignment horizontal="center" vertical="center" wrapText="1"/>
    </xf>
    <xf numFmtId="166" fontId="35" fillId="8" borderId="127" xfId="5" applyNumberFormat="1" applyFont="1" applyFill="1" applyBorder="1" applyAlignment="1" applyProtection="1">
      <alignment horizontal="left" vertical="center" wrapText="1"/>
    </xf>
    <xf numFmtId="166" fontId="36" fillId="1" borderId="17" xfId="0" applyNumberFormat="1" applyFont="1" applyFill="1" applyBorder="1" applyAlignment="1">
      <alignment horizontal="center" vertical="center" wrapText="1"/>
    </xf>
    <xf numFmtId="0" fontId="35" fillId="8" borderId="15" xfId="0" applyFont="1" applyFill="1" applyBorder="1" applyAlignment="1">
      <alignment horizontal="center" vertical="center"/>
    </xf>
    <xf numFmtId="166" fontId="35" fillId="8" borderId="129" xfId="0" applyNumberFormat="1" applyFont="1" applyFill="1" applyBorder="1" applyAlignment="1">
      <alignment horizontal="center" vertical="center" wrapText="1"/>
    </xf>
    <xf numFmtId="166" fontId="35" fillId="8" borderId="130" xfId="0" applyNumberFormat="1" applyFont="1" applyFill="1" applyBorder="1" applyAlignment="1">
      <alignment horizontal="center" vertical="center" wrapText="1"/>
    </xf>
    <xf numFmtId="166" fontId="35" fillId="8" borderId="131" xfId="0" applyNumberFormat="1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9" fontId="33" fillId="0" borderId="0" xfId="8" applyFont="1" applyFill="1" applyAlignment="1" applyProtection="1">
      <alignment horizontal="center" vertical="center" wrapText="1"/>
    </xf>
    <xf numFmtId="0" fontId="30" fillId="0" borderId="0" xfId="0" applyFont="1"/>
    <xf numFmtId="0" fontId="50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33" fillId="8" borderId="0" xfId="0" applyFont="1" applyFill="1" applyAlignment="1">
      <alignment vertical="center"/>
    </xf>
    <xf numFmtId="0" fontId="36" fillId="8" borderId="0" xfId="0" applyFont="1" applyFill="1" applyAlignment="1">
      <alignment vertical="center" wrapText="1"/>
    </xf>
    <xf numFmtId="0" fontId="30" fillId="0" borderId="0" xfId="0" applyFont="1" applyAlignment="1">
      <alignment horizontal="justify" vertical="center" wrapText="1"/>
    </xf>
    <xf numFmtId="0" fontId="31" fillId="0" borderId="0" xfId="0" applyFont="1" applyAlignment="1">
      <alignment vertical="center"/>
    </xf>
    <xf numFmtId="0" fontId="30" fillId="0" borderId="6" xfId="0" applyFont="1" applyBorder="1" applyAlignment="1">
      <alignment horizontal="justify" vertical="center" wrapText="1"/>
    </xf>
    <xf numFmtId="0" fontId="30" fillId="8" borderId="0" xfId="0" applyFont="1" applyFill="1" applyAlignment="1">
      <alignment horizontal="justify" vertical="center" wrapText="1"/>
    </xf>
    <xf numFmtId="0" fontId="52" fillId="8" borderId="0" xfId="0" applyFont="1" applyFill="1" applyAlignment="1">
      <alignment horizontal="center" vertical="center"/>
    </xf>
    <xf numFmtId="0" fontId="24" fillId="0" borderId="0" xfId="0" applyFont="1"/>
    <xf numFmtId="166" fontId="22" fillId="10" borderId="49" xfId="0" applyNumberFormat="1" applyFont="1" applyFill="1" applyBorder="1" applyAlignment="1" applyProtection="1">
      <alignment vertical="center" wrapText="1"/>
      <protection locked="0"/>
    </xf>
    <xf numFmtId="166" fontId="22" fillId="10" borderId="75" xfId="0" applyNumberFormat="1" applyFont="1" applyFill="1" applyBorder="1" applyAlignment="1" applyProtection="1">
      <alignment vertical="center" wrapText="1"/>
      <protection locked="0"/>
    </xf>
    <xf numFmtId="166" fontId="22" fillId="10" borderId="29" xfId="5" applyNumberFormat="1" applyFont="1" applyFill="1" applyBorder="1" applyAlignment="1" applyProtection="1">
      <alignment horizontal="center" vertical="center" wrapText="1"/>
      <protection locked="0"/>
    </xf>
    <xf numFmtId="166" fontId="22" fillId="10" borderId="36" xfId="5" applyNumberFormat="1" applyFont="1" applyFill="1" applyBorder="1" applyAlignment="1" applyProtection="1">
      <alignment horizontal="center" vertical="center" wrapText="1"/>
      <protection locked="0"/>
    </xf>
    <xf numFmtId="0" fontId="4" fillId="10" borderId="45" xfId="0" applyFont="1" applyFill="1" applyBorder="1" applyAlignment="1">
      <alignment horizontal="left" vertical="center" wrapText="1"/>
    </xf>
    <xf numFmtId="0" fontId="4" fillId="10" borderId="39" xfId="0" applyFont="1" applyFill="1" applyBorder="1" applyAlignment="1">
      <alignment horizontal="left" vertical="center" wrapText="1"/>
    </xf>
    <xf numFmtId="0" fontId="4" fillId="10" borderId="40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167" fontId="12" fillId="0" borderId="4" xfId="3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1" fontId="12" fillId="11" borderId="4" xfId="3" applyFont="1" applyFill="1" applyBorder="1" applyAlignment="1">
      <alignment horizontal="center" vertical="center" wrapText="1"/>
    </xf>
    <xf numFmtId="41" fontId="12" fillId="11" borderId="4" xfId="3" applyFont="1" applyFill="1" applyBorder="1" applyAlignment="1">
      <alignment horizontal="center" vertical="center"/>
    </xf>
    <xf numFmtId="41" fontId="7" fillId="0" borderId="0" xfId="3" applyFont="1" applyAlignment="1">
      <alignment vertical="center"/>
    </xf>
    <xf numFmtId="41" fontId="12" fillId="12" borderId="4" xfId="3" applyFont="1" applyFill="1" applyBorder="1" applyAlignment="1">
      <alignment horizontal="center" vertical="center" wrapText="1"/>
    </xf>
    <xf numFmtId="41" fontId="12" fillId="12" borderId="4" xfId="3" applyFont="1" applyFill="1" applyBorder="1" applyAlignment="1">
      <alignment horizontal="center" vertical="center"/>
    </xf>
    <xf numFmtId="41" fontId="12" fillId="13" borderId="4" xfId="3" applyFont="1" applyFill="1" applyBorder="1" applyAlignment="1">
      <alignment horizontal="center" vertical="center"/>
    </xf>
    <xf numFmtId="0" fontId="12" fillId="13" borderId="4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vertical="center" wrapText="1"/>
    </xf>
    <xf numFmtId="167" fontId="7" fillId="0" borderId="4" xfId="3" applyNumberFormat="1" applyFont="1" applyBorder="1" applyAlignment="1">
      <alignment vertical="center"/>
    </xf>
    <xf numFmtId="41" fontId="7" fillId="0" borderId="4" xfId="3" applyFont="1" applyBorder="1" applyAlignment="1">
      <alignment vertical="center"/>
    </xf>
    <xf numFmtId="168" fontId="7" fillId="0" borderId="4" xfId="3" applyNumberFormat="1" applyFont="1" applyBorder="1" applyAlignment="1">
      <alignment vertical="center"/>
    </xf>
    <xf numFmtId="41" fontId="12" fillId="0" borderId="4" xfId="3" applyFont="1" applyBorder="1" applyAlignment="1">
      <alignment vertical="center"/>
    </xf>
    <xf numFmtId="167" fontId="12" fillId="11" borderId="4" xfId="3" applyNumberFormat="1" applyFont="1" applyFill="1" applyBorder="1" applyAlignment="1">
      <alignment vertical="center"/>
    </xf>
    <xf numFmtId="41" fontId="12" fillId="11" borderId="4" xfId="3" applyFont="1" applyFill="1" applyBorder="1" applyAlignment="1">
      <alignment vertical="center"/>
    </xf>
    <xf numFmtId="168" fontId="12" fillId="12" borderId="4" xfId="3" applyNumberFormat="1" applyFont="1" applyFill="1" applyBorder="1" applyAlignment="1">
      <alignment vertical="center"/>
    </xf>
    <xf numFmtId="41" fontId="12" fillId="12" borderId="4" xfId="3" applyFont="1" applyFill="1" applyBorder="1" applyAlignment="1">
      <alignment vertical="center"/>
    </xf>
    <xf numFmtId="41" fontId="12" fillId="13" borderId="4" xfId="3" applyFont="1" applyFill="1" applyBorder="1" applyAlignment="1">
      <alignment vertical="center"/>
    </xf>
    <xf numFmtId="167" fontId="7" fillId="0" borderId="0" xfId="3" applyNumberFormat="1" applyFont="1" applyAlignment="1">
      <alignment vertical="center"/>
    </xf>
    <xf numFmtId="168" fontId="7" fillId="0" borderId="0" xfId="3" applyNumberFormat="1" applyFont="1" applyAlignment="1">
      <alignment vertical="center"/>
    </xf>
    <xf numFmtId="0" fontId="7" fillId="0" borderId="4" xfId="0" applyFont="1" applyBorder="1" applyAlignment="1">
      <alignment vertical="center" wrapText="1"/>
    </xf>
    <xf numFmtId="41" fontId="12" fillId="0" borderId="0" xfId="3" applyFont="1" applyAlignment="1">
      <alignment vertical="center"/>
    </xf>
    <xf numFmtId="167" fontId="7" fillId="0" borderId="0" xfId="0" applyNumberFormat="1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166" fontId="25" fillId="0" borderId="8" xfId="5" applyNumberFormat="1" applyFont="1" applyFill="1" applyBorder="1" applyAlignment="1" applyProtection="1">
      <alignment horizontal="justify" vertical="center" wrapText="1"/>
    </xf>
    <xf numFmtId="0" fontId="30" fillId="3" borderId="4" xfId="0" applyFont="1" applyFill="1" applyBorder="1" applyAlignment="1" applyProtection="1">
      <alignment horizontal="justify" vertical="top" wrapText="1"/>
      <protection locked="0"/>
    </xf>
    <xf numFmtId="0" fontId="14" fillId="10" borderId="4" xfId="2" applyNumberFormat="1" applyFont="1" applyFill="1" applyBorder="1" applyAlignment="1" applyProtection="1">
      <alignment horizontal="center" vertical="center" wrapText="1"/>
      <protection locked="0"/>
    </xf>
    <xf numFmtId="43" fontId="14" fillId="10" borderId="4" xfId="2" applyFont="1" applyFill="1" applyBorder="1" applyAlignment="1" applyProtection="1">
      <alignment horizontal="justify" vertical="center" wrapText="1"/>
      <protection locked="0"/>
    </xf>
    <xf numFmtId="0" fontId="20" fillId="10" borderId="4" xfId="0" applyFont="1" applyFill="1" applyBorder="1" applyAlignment="1" applyProtection="1">
      <alignment horizontal="center" vertical="center" wrapText="1"/>
      <protection locked="0"/>
    </xf>
    <xf numFmtId="165" fontId="14" fillId="10" borderId="4" xfId="5" applyFont="1" applyFill="1" applyBorder="1" applyAlignment="1" applyProtection="1">
      <alignment horizontal="justify" vertical="center" wrapText="1"/>
      <protection locked="0"/>
    </xf>
    <xf numFmtId="166" fontId="25" fillId="10" borderId="8" xfId="5" applyNumberFormat="1" applyFont="1" applyFill="1" applyBorder="1" applyAlignment="1" applyProtection="1">
      <alignment horizontal="left" vertical="center" wrapText="1"/>
      <protection locked="0"/>
    </xf>
    <xf numFmtId="166" fontId="30" fillId="10" borderId="32" xfId="0" applyNumberFormat="1" applyFont="1" applyFill="1" applyBorder="1" applyAlignment="1" applyProtection="1">
      <alignment vertical="center"/>
      <protection locked="0"/>
    </xf>
    <xf numFmtId="0" fontId="31" fillId="10" borderId="31" xfId="0" applyFont="1" applyFill="1" applyBorder="1" applyAlignment="1">
      <alignment vertical="center"/>
    </xf>
    <xf numFmtId="166" fontId="31" fillId="10" borderId="30" xfId="0" applyNumberFormat="1" applyFont="1" applyFill="1" applyBorder="1" applyAlignment="1">
      <alignment horizontal="center" vertical="center"/>
    </xf>
    <xf numFmtId="0" fontId="31" fillId="10" borderId="31" xfId="0" applyFont="1" applyFill="1" applyBorder="1" applyAlignment="1">
      <alignment vertical="center" wrapText="1"/>
    </xf>
    <xf numFmtId="166" fontId="31" fillId="10" borderId="48" xfId="0" applyNumberFormat="1" applyFont="1" applyFill="1" applyBorder="1" applyAlignment="1">
      <alignment horizontal="center" vertical="center"/>
    </xf>
    <xf numFmtId="0" fontId="31" fillId="10" borderId="33" xfId="0" applyFont="1" applyFill="1" applyBorder="1" applyAlignment="1">
      <alignment vertical="center"/>
    </xf>
    <xf numFmtId="0" fontId="31" fillId="10" borderId="34" xfId="0" applyFont="1" applyFill="1" applyBorder="1" applyAlignment="1">
      <alignment vertical="center"/>
    </xf>
    <xf numFmtId="0" fontId="31" fillId="10" borderId="58" xfId="0" applyFont="1" applyFill="1" applyBorder="1" applyAlignment="1">
      <alignment vertical="center"/>
    </xf>
    <xf numFmtId="0" fontId="31" fillId="10" borderId="35" xfId="0" applyFont="1" applyFill="1" applyBorder="1" applyAlignment="1">
      <alignment vertical="center"/>
    </xf>
    <xf numFmtId="0" fontId="31" fillId="11" borderId="8" xfId="0" applyFont="1" applyFill="1" applyBorder="1" applyAlignment="1">
      <alignment vertical="center"/>
    </xf>
    <xf numFmtId="164" fontId="31" fillId="11" borderId="7" xfId="6" applyFont="1" applyFill="1" applyBorder="1" applyAlignment="1">
      <alignment vertical="center"/>
    </xf>
    <xf numFmtId="0" fontId="31" fillId="11" borderId="4" xfId="0" applyFont="1" applyFill="1" applyBorder="1" applyAlignment="1">
      <alignment vertical="center"/>
    </xf>
    <xf numFmtId="164" fontId="31" fillId="11" borderId="8" xfId="6" applyFont="1" applyFill="1" applyBorder="1" applyAlignment="1">
      <alignment vertical="center"/>
    </xf>
    <xf numFmtId="164" fontId="31" fillId="11" borderId="6" xfId="6" applyFont="1" applyFill="1" applyBorder="1" applyAlignment="1">
      <alignment vertical="center"/>
    </xf>
    <xf numFmtId="0" fontId="5" fillId="10" borderId="4" xfId="0" applyFont="1" applyFill="1" applyBorder="1" applyAlignment="1">
      <alignment horizontal="left" vertical="center" wrapText="1" indent="1"/>
    </xf>
    <xf numFmtId="166" fontId="27" fillId="10" borderId="4" xfId="0" applyNumberFormat="1" applyFont="1" applyFill="1" applyBorder="1" applyAlignment="1" applyProtection="1">
      <alignment horizontal="center" vertical="center"/>
      <protection locked="0"/>
    </xf>
    <xf numFmtId="0" fontId="5" fillId="10" borderId="4" xfId="0" applyFont="1" applyFill="1" applyBorder="1" applyAlignment="1">
      <alignment horizontal="left" vertical="center" indent="1"/>
    </xf>
    <xf numFmtId="0" fontId="4" fillId="10" borderId="4" xfId="0" applyFont="1" applyFill="1" applyBorder="1" applyAlignment="1">
      <alignment horizontal="left" vertical="center" wrapText="1" indent="1"/>
    </xf>
    <xf numFmtId="166" fontId="27" fillId="10" borderId="7" xfId="0" applyNumberFormat="1" applyFont="1" applyFill="1" applyBorder="1" applyAlignment="1" applyProtection="1">
      <alignment horizontal="center" vertical="center"/>
      <protection locked="0"/>
    </xf>
    <xf numFmtId="0" fontId="4" fillId="10" borderId="4" xfId="0" applyFont="1" applyFill="1" applyBorder="1" applyAlignment="1">
      <alignment horizontal="left" vertical="center" indent="1"/>
    </xf>
    <xf numFmtId="0" fontId="27" fillId="10" borderId="0" xfId="0" applyFont="1" applyFill="1" applyAlignment="1">
      <alignment horizontal="justify" vertical="center" wrapText="1"/>
    </xf>
    <xf numFmtId="166" fontId="27" fillId="10" borderId="7" xfId="0" applyNumberFormat="1" applyFont="1" applyFill="1" applyBorder="1" applyAlignment="1">
      <alignment horizontal="center" vertical="center"/>
    </xf>
    <xf numFmtId="166" fontId="36" fillId="10" borderId="18" xfId="0" applyNumberFormat="1" applyFont="1" applyFill="1" applyBorder="1" applyAlignment="1">
      <alignment vertical="center" wrapText="1"/>
    </xf>
    <xf numFmtId="166" fontId="36" fillId="10" borderId="4" xfId="0" applyNumberFormat="1" applyFont="1" applyFill="1" applyBorder="1" applyAlignment="1">
      <alignment vertical="center" wrapText="1"/>
    </xf>
    <xf numFmtId="166" fontId="36" fillId="10" borderId="123" xfId="5" applyNumberFormat="1" applyFont="1" applyFill="1" applyBorder="1" applyAlignment="1" applyProtection="1">
      <alignment horizontal="center" vertical="center" wrapText="1"/>
    </xf>
    <xf numFmtId="166" fontId="36" fillId="10" borderId="17" xfId="0" applyNumberFormat="1" applyFont="1" applyFill="1" applyBorder="1" applyAlignment="1">
      <alignment vertical="center" wrapText="1"/>
    </xf>
    <xf numFmtId="166" fontId="36" fillId="10" borderId="128" xfId="5" applyNumberFormat="1" applyFont="1" applyFill="1" applyBorder="1" applyAlignment="1" applyProtection="1">
      <alignment horizontal="center" vertical="center" wrapText="1"/>
    </xf>
    <xf numFmtId="0" fontId="37" fillId="10" borderId="11" xfId="0" applyFont="1" applyFill="1" applyBorder="1" applyAlignment="1">
      <alignment horizontal="left" vertical="center" wrapText="1"/>
    </xf>
    <xf numFmtId="0" fontId="37" fillId="10" borderId="8" xfId="0" applyFont="1" applyFill="1" applyBorder="1" applyAlignment="1">
      <alignment horizontal="left" vertical="center" wrapText="1"/>
    </xf>
    <xf numFmtId="0" fontId="37" fillId="10" borderId="13" xfId="0" applyFont="1" applyFill="1" applyBorder="1" applyAlignment="1">
      <alignment horizontal="left" vertical="center" wrapText="1"/>
    </xf>
    <xf numFmtId="0" fontId="55" fillId="10" borderId="8" xfId="0" applyFont="1" applyFill="1" applyBorder="1" applyAlignment="1">
      <alignment horizontal="center" vertical="center" wrapText="1"/>
    </xf>
    <xf numFmtId="0" fontId="55" fillId="10" borderId="4" xfId="0" applyFont="1" applyFill="1" applyBorder="1" applyAlignment="1">
      <alignment horizontal="center" vertical="center" wrapText="1"/>
    </xf>
    <xf numFmtId="0" fontId="37" fillId="10" borderId="8" xfId="0" applyFont="1" applyFill="1" applyBorder="1" applyAlignment="1">
      <alignment vertical="center" wrapText="1"/>
    </xf>
    <xf numFmtId="166" fontId="37" fillId="10" borderId="4" xfId="5" applyNumberFormat="1" applyFont="1" applyFill="1" applyBorder="1" applyAlignment="1" applyProtection="1">
      <alignment vertical="center" wrapText="1"/>
    </xf>
    <xf numFmtId="166" fontId="37" fillId="10" borderId="4" xfId="5" applyNumberFormat="1" applyFont="1" applyFill="1" applyBorder="1" applyAlignment="1" applyProtection="1">
      <alignment horizontal="center" vertical="center" wrapText="1"/>
    </xf>
    <xf numFmtId="0" fontId="31" fillId="0" borderId="6" xfId="0" applyFont="1" applyBorder="1" applyAlignment="1">
      <alignment vertical="center" wrapText="1"/>
    </xf>
    <xf numFmtId="0" fontId="31" fillId="0" borderId="5" xfId="0" applyFont="1" applyBorder="1" applyAlignment="1">
      <alignment vertical="center" wrapText="1"/>
    </xf>
    <xf numFmtId="0" fontId="27" fillId="10" borderId="0" xfId="0" applyFont="1" applyFill="1" applyAlignment="1">
      <alignment horizontal="left" vertical="center" wrapText="1"/>
    </xf>
    <xf numFmtId="0" fontId="22" fillId="10" borderId="4" xfId="0" applyFont="1" applyFill="1" applyBorder="1" applyAlignment="1">
      <alignment horizontal="justify" vertical="center" wrapText="1"/>
    </xf>
    <xf numFmtId="0" fontId="22" fillId="10" borderId="4" xfId="0" applyFont="1" applyFill="1" applyBorder="1" applyAlignment="1">
      <alignment horizontal="justify" vertical="center"/>
    </xf>
    <xf numFmtId="0" fontId="42" fillId="10" borderId="4" xfId="0" applyFont="1" applyFill="1" applyBorder="1" applyAlignment="1">
      <alignment horizontal="justify" vertical="center"/>
    </xf>
    <xf numFmtId="0" fontId="42" fillId="10" borderId="4" xfId="0" applyFont="1" applyFill="1" applyBorder="1" applyAlignment="1">
      <alignment horizontal="justify" vertical="center" wrapText="1"/>
    </xf>
    <xf numFmtId="0" fontId="22" fillId="14" borderId="4" xfId="0" applyFont="1" applyFill="1" applyBorder="1" applyAlignment="1">
      <alignment horizontal="justify" vertical="center"/>
    </xf>
    <xf numFmtId="0" fontId="25" fillId="8" borderId="2" xfId="0" applyFont="1" applyFill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47" fillId="8" borderId="11" xfId="0" applyFont="1" applyFill="1" applyBorder="1" applyAlignment="1">
      <alignment horizontal="left" vertical="center" wrapText="1"/>
    </xf>
    <xf numFmtId="0" fontId="21" fillId="8" borderId="12" xfId="0" applyFont="1" applyFill="1" applyBorder="1" applyAlignment="1">
      <alignment vertical="center" wrapText="1"/>
    </xf>
    <xf numFmtId="0" fontId="14" fillId="8" borderId="12" xfId="0" applyFont="1" applyFill="1" applyBorder="1" applyAlignment="1">
      <alignment horizontal="justify" vertical="center" wrapText="1"/>
    </xf>
    <xf numFmtId="0" fontId="47" fillId="8" borderId="0" xfId="0" applyFont="1" applyFill="1" applyAlignment="1">
      <alignment horizontal="left" vertical="center" wrapText="1"/>
    </xf>
    <xf numFmtId="0" fontId="21" fillId="8" borderId="0" xfId="0" applyFont="1" applyFill="1" applyAlignment="1">
      <alignment vertical="center" wrapText="1"/>
    </xf>
    <xf numFmtId="0" fontId="59" fillId="16" borderId="0" xfId="0" applyFont="1" applyFill="1" applyAlignment="1" applyProtection="1">
      <alignment vertical="top" wrapText="1"/>
      <protection locked="0"/>
    </xf>
    <xf numFmtId="0" fontId="30" fillId="3" borderId="4" xfId="0" applyFont="1" applyFill="1" applyBorder="1" applyAlignment="1" applyProtection="1">
      <alignment horizontal="left" vertical="center" wrapText="1"/>
      <protection locked="0"/>
    </xf>
    <xf numFmtId="166" fontId="63" fillId="17" borderId="7" xfId="0" applyNumberFormat="1" applyFont="1" applyFill="1" applyBorder="1" applyAlignment="1" applyProtection="1">
      <alignment horizontal="center" vertical="center"/>
      <protection locked="0"/>
    </xf>
    <xf numFmtId="0" fontId="16" fillId="8" borderId="0" xfId="0" applyFont="1" applyFill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60" fillId="15" borderId="2" xfId="0" applyFont="1" applyFill="1" applyBorder="1" applyAlignment="1" applyProtection="1">
      <alignment horizontal="left" vertical="justify" wrapText="1"/>
      <protection locked="0"/>
    </xf>
    <xf numFmtId="0" fontId="59" fillId="15" borderId="0" xfId="0" applyFont="1" applyFill="1" applyAlignment="1" applyProtection="1">
      <alignment horizontal="left" vertical="justify" wrapText="1"/>
      <protection locked="0"/>
    </xf>
    <xf numFmtId="0" fontId="20" fillId="0" borderId="0" xfId="0" applyFont="1" applyAlignment="1">
      <alignment horizontal="left" vertical="top" wrapText="1"/>
    </xf>
    <xf numFmtId="0" fontId="20" fillId="4" borderId="4" xfId="0" applyFont="1" applyFill="1" applyBorder="1" applyAlignment="1">
      <alignment horizontal="left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0" fontId="8" fillId="8" borderId="86" xfId="0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left" vertical="center" wrapText="1"/>
    </xf>
    <xf numFmtId="0" fontId="13" fillId="8" borderId="2" xfId="0" applyFont="1" applyFill="1" applyBorder="1" applyAlignment="1">
      <alignment horizontal="justify" vertical="center" wrapText="1"/>
    </xf>
    <xf numFmtId="0" fontId="13" fillId="8" borderId="0" xfId="0" applyFont="1" applyFill="1" applyAlignment="1">
      <alignment horizontal="justify" vertical="center" wrapText="1"/>
    </xf>
    <xf numFmtId="0" fontId="13" fillId="8" borderId="1" xfId="0" applyFont="1" applyFill="1" applyBorder="1" applyAlignment="1">
      <alignment horizontal="justify" vertical="center" wrapText="1"/>
    </xf>
    <xf numFmtId="0" fontId="13" fillId="8" borderId="11" xfId="0" applyFont="1" applyFill="1" applyBorder="1" applyAlignment="1">
      <alignment horizontal="justify" vertical="center" wrapText="1"/>
    </xf>
    <xf numFmtId="0" fontId="13" fillId="8" borderId="12" xfId="0" applyFont="1" applyFill="1" applyBorder="1" applyAlignment="1">
      <alignment horizontal="justify" vertical="center" wrapText="1"/>
    </xf>
    <xf numFmtId="0" fontId="13" fillId="8" borderId="14" xfId="0" applyFont="1" applyFill="1" applyBorder="1" applyAlignment="1">
      <alignment horizontal="justify" vertical="center" wrapText="1"/>
    </xf>
    <xf numFmtId="0" fontId="13" fillId="8" borderId="13" xfId="0" applyFont="1" applyFill="1" applyBorder="1" applyAlignment="1">
      <alignment horizontal="justify" vertical="center" wrapText="1"/>
    </xf>
    <xf numFmtId="0" fontId="13" fillId="8" borderId="5" xfId="0" applyFont="1" applyFill="1" applyBorder="1" applyAlignment="1">
      <alignment horizontal="justify" vertical="center" wrapText="1"/>
    </xf>
    <xf numFmtId="0" fontId="13" fillId="8" borderId="10" xfId="0" applyFont="1" applyFill="1" applyBorder="1" applyAlignment="1">
      <alignment horizontal="justify" vertical="center" wrapText="1"/>
    </xf>
    <xf numFmtId="0" fontId="1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5" fillId="2" borderId="17" xfId="0" quotePrefix="1" applyFont="1" applyFill="1" applyBorder="1" applyAlignment="1">
      <alignment horizontal="center" vertical="center" wrapText="1"/>
    </xf>
    <xf numFmtId="0" fontId="15" fillId="2" borderId="18" xfId="0" quotePrefix="1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justify" vertical="center" wrapText="1"/>
    </xf>
    <xf numFmtId="0" fontId="16" fillId="8" borderId="87" xfId="0" applyFont="1" applyFill="1" applyBorder="1" applyAlignment="1">
      <alignment horizontal="center" vertical="center" wrapText="1"/>
    </xf>
    <xf numFmtId="0" fontId="16" fillId="8" borderId="88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justify" vertical="center" wrapText="1"/>
    </xf>
    <xf numFmtId="0" fontId="0" fillId="5" borderId="1" xfId="0" applyFill="1" applyBorder="1" applyAlignment="1">
      <alignment horizontal="justify" vertical="center" wrapText="1"/>
    </xf>
    <xf numFmtId="0" fontId="5" fillId="8" borderId="0" xfId="0" quotePrefix="1" applyFont="1" applyFill="1" applyAlignment="1">
      <alignment horizontal="center" vertical="center" wrapText="1"/>
    </xf>
    <xf numFmtId="0" fontId="32" fillId="4" borderId="19" xfId="0" applyFont="1" applyFill="1" applyBorder="1" applyAlignment="1">
      <alignment horizontal="center" vertical="center" wrapText="1"/>
    </xf>
    <xf numFmtId="0" fontId="32" fillId="4" borderId="20" xfId="0" applyFont="1" applyFill="1" applyBorder="1" applyAlignment="1">
      <alignment horizontal="center" vertical="center" wrapText="1"/>
    </xf>
    <xf numFmtId="0" fontId="32" fillId="4" borderId="21" xfId="0" applyFont="1" applyFill="1" applyBorder="1" applyAlignment="1">
      <alignment horizontal="center" vertical="center" wrapText="1"/>
    </xf>
    <xf numFmtId="0" fontId="35" fillId="8" borderId="89" xfId="0" applyFont="1" applyFill="1" applyBorder="1" applyAlignment="1">
      <alignment horizontal="center" vertical="center" wrapText="1"/>
    </xf>
    <xf numFmtId="0" fontId="35" fillId="8" borderId="59" xfId="0" applyFont="1" applyFill="1" applyBorder="1" applyAlignment="1">
      <alignment horizontal="center" vertical="center" wrapText="1"/>
    </xf>
    <xf numFmtId="0" fontId="36" fillId="10" borderId="4" xfId="0" applyFont="1" applyFill="1" applyBorder="1" applyAlignment="1">
      <alignment horizontal="justify" vertical="center" wrapText="1"/>
    </xf>
    <xf numFmtId="0" fontId="35" fillId="2" borderId="2" xfId="0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8" fillId="8" borderId="5" xfId="0" applyFont="1" applyFill="1" applyBorder="1" applyAlignment="1">
      <alignment horizontal="left" vertical="center" wrapText="1"/>
    </xf>
    <xf numFmtId="0" fontId="8" fillId="8" borderId="10" xfId="0" applyFont="1" applyFill="1" applyBorder="1" applyAlignment="1">
      <alignment horizontal="left" vertical="center" wrapText="1"/>
    </xf>
    <xf numFmtId="166" fontId="31" fillId="0" borderId="90" xfId="0" applyNumberFormat="1" applyFont="1" applyBorder="1" applyAlignment="1">
      <alignment horizontal="center" vertical="center" wrapText="1"/>
    </xf>
    <xf numFmtId="166" fontId="31" fillId="0" borderId="61" xfId="0" applyNumberFormat="1" applyFont="1" applyBorder="1" applyAlignment="1">
      <alignment horizontal="center" vertical="center" wrapText="1"/>
    </xf>
    <xf numFmtId="166" fontId="31" fillId="0" borderId="91" xfId="0" applyNumberFormat="1" applyFont="1" applyBorder="1" applyAlignment="1">
      <alignment horizontal="center" vertical="center" wrapText="1"/>
    </xf>
    <xf numFmtId="166" fontId="31" fillId="0" borderId="22" xfId="0" applyNumberFormat="1" applyFont="1" applyBorder="1" applyAlignment="1">
      <alignment horizontal="center" vertical="center" wrapText="1"/>
    </xf>
    <xf numFmtId="166" fontId="31" fillId="0" borderId="92" xfId="0" applyNumberFormat="1" applyFont="1" applyBorder="1" applyAlignment="1">
      <alignment horizontal="center" vertical="center" wrapText="1"/>
    </xf>
    <xf numFmtId="0" fontId="35" fillId="8" borderId="93" xfId="0" applyFont="1" applyFill="1" applyBorder="1" applyAlignment="1">
      <alignment horizontal="center" vertical="center"/>
    </xf>
    <xf numFmtId="0" fontId="35" fillId="8" borderId="61" xfId="0" applyFont="1" applyFill="1" applyBorder="1" applyAlignment="1">
      <alignment horizontal="center" vertical="center"/>
    </xf>
    <xf numFmtId="0" fontId="30" fillId="8" borderId="69" xfId="0" applyFont="1" applyFill="1" applyBorder="1" applyAlignment="1">
      <alignment horizontal="center" vertical="center"/>
    </xf>
    <xf numFmtId="0" fontId="30" fillId="8" borderId="2" xfId="0" applyFont="1" applyFill="1" applyBorder="1" applyAlignment="1">
      <alignment horizontal="center" vertical="center"/>
    </xf>
    <xf numFmtId="0" fontId="16" fillId="8" borderId="94" xfId="0" applyFont="1" applyFill="1" applyBorder="1" applyAlignment="1" applyProtection="1">
      <alignment horizontal="center" vertical="center" wrapText="1"/>
      <protection locked="0"/>
    </xf>
    <xf numFmtId="0" fontId="16" fillId="8" borderId="74" xfId="0" applyFont="1" applyFill="1" applyBorder="1" applyAlignment="1" applyProtection="1">
      <alignment horizontal="center" vertical="center" wrapText="1"/>
      <protection locked="0"/>
    </xf>
    <xf numFmtId="0" fontId="8" fillId="8" borderId="108" xfId="0" applyFont="1" applyFill="1" applyBorder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16" fillId="8" borderId="116" xfId="0" applyFont="1" applyFill="1" applyBorder="1" applyAlignment="1">
      <alignment horizontal="center" vertical="center" textRotation="90"/>
    </xf>
    <xf numFmtId="0" fontId="16" fillId="8" borderId="117" xfId="0" applyFont="1" applyFill="1" applyBorder="1" applyAlignment="1">
      <alignment horizontal="center" vertical="center" textRotation="90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4" fillId="0" borderId="99" xfId="0" applyFont="1" applyBorder="1" applyAlignment="1">
      <alignment horizontal="justify" vertical="center" wrapText="1"/>
    </xf>
    <xf numFmtId="0" fontId="4" fillId="0" borderId="100" xfId="0" applyFont="1" applyBorder="1" applyAlignment="1">
      <alignment horizontal="justify" vertical="center" wrapText="1"/>
    </xf>
    <xf numFmtId="0" fontId="4" fillId="0" borderId="101" xfId="0" applyFont="1" applyBorder="1" applyAlignment="1">
      <alignment horizontal="justify" vertical="center" wrapText="1"/>
    </xf>
    <xf numFmtId="0" fontId="16" fillId="8" borderId="112" xfId="0" applyFont="1" applyFill="1" applyBorder="1" applyAlignment="1">
      <alignment horizontal="center" vertical="center" wrapText="1"/>
    </xf>
    <xf numFmtId="0" fontId="16" fillId="8" borderId="94" xfId="0" applyFont="1" applyFill="1" applyBorder="1" applyAlignment="1">
      <alignment horizontal="center" vertical="center" wrapText="1"/>
    </xf>
    <xf numFmtId="0" fontId="16" fillId="8" borderId="104" xfId="0" applyFont="1" applyFill="1" applyBorder="1" applyAlignment="1">
      <alignment horizontal="center" vertical="center" wrapText="1"/>
    </xf>
    <xf numFmtId="0" fontId="16" fillId="8" borderId="105" xfId="0" applyFont="1" applyFill="1" applyBorder="1" applyAlignment="1">
      <alignment horizontal="center" vertical="center" wrapText="1"/>
    </xf>
    <xf numFmtId="0" fontId="16" fillId="8" borderId="79" xfId="0" applyFont="1" applyFill="1" applyBorder="1" applyAlignment="1">
      <alignment horizontal="left" vertical="center" wrapText="1"/>
    </xf>
    <xf numFmtId="0" fontId="16" fillId="8" borderId="72" xfId="0" applyFont="1" applyFill="1" applyBorder="1" applyAlignment="1">
      <alignment horizontal="left" vertical="center" wrapText="1"/>
    </xf>
    <xf numFmtId="0" fontId="4" fillId="0" borderId="79" xfId="0" applyFont="1" applyBorder="1" applyAlignment="1">
      <alignment horizontal="center" vertical="center" wrapText="1"/>
    </xf>
    <xf numFmtId="0" fontId="4" fillId="0" borderId="95" xfId="0" applyFont="1" applyBorder="1" applyAlignment="1">
      <alignment horizontal="center" vertical="center" wrapText="1"/>
    </xf>
    <xf numFmtId="0" fontId="16" fillId="8" borderId="107" xfId="0" applyFont="1" applyFill="1" applyBorder="1" applyAlignment="1">
      <alignment horizontal="center" vertical="center" wrapText="1"/>
    </xf>
    <xf numFmtId="0" fontId="16" fillId="8" borderId="106" xfId="0" applyFont="1" applyFill="1" applyBorder="1" applyAlignment="1">
      <alignment horizontal="center" vertical="center" wrapText="1"/>
    </xf>
    <xf numFmtId="0" fontId="16" fillId="8" borderId="113" xfId="0" applyFont="1" applyFill="1" applyBorder="1" applyAlignment="1">
      <alignment horizontal="center" vertical="center" wrapText="1"/>
    </xf>
    <xf numFmtId="0" fontId="16" fillId="8" borderId="114" xfId="0" applyFont="1" applyFill="1" applyBorder="1" applyAlignment="1">
      <alignment horizontal="center" vertical="center" wrapText="1"/>
    </xf>
    <xf numFmtId="0" fontId="16" fillId="8" borderId="83" xfId="0" applyFont="1" applyFill="1" applyBorder="1" applyAlignment="1">
      <alignment horizontal="left" vertical="center" wrapText="1"/>
    </xf>
    <xf numFmtId="0" fontId="16" fillId="8" borderId="96" xfId="0" applyFont="1" applyFill="1" applyBorder="1" applyAlignment="1">
      <alignment horizontal="left" vertical="center" wrapText="1"/>
    </xf>
    <xf numFmtId="0" fontId="35" fillId="8" borderId="132" xfId="0" applyFont="1" applyFill="1" applyBorder="1" applyAlignment="1">
      <alignment horizontal="center" vertical="center" textRotation="90"/>
    </xf>
    <xf numFmtId="0" fontId="35" fillId="8" borderId="122" xfId="0" applyFont="1" applyFill="1" applyBorder="1" applyAlignment="1">
      <alignment horizontal="center" vertical="center" textRotation="90"/>
    </xf>
    <xf numFmtId="0" fontId="35" fillId="8" borderId="124" xfId="0" applyFont="1" applyFill="1" applyBorder="1" applyAlignment="1">
      <alignment horizontal="center" vertical="center" textRotation="90"/>
    </xf>
    <xf numFmtId="0" fontId="49" fillId="8" borderId="108" xfId="0" applyFont="1" applyFill="1" applyBorder="1" applyAlignment="1">
      <alignment horizontal="center" vertical="center"/>
    </xf>
    <xf numFmtId="0" fontId="49" fillId="8" borderId="0" xfId="0" applyFont="1" applyFill="1" applyAlignment="1">
      <alignment horizontal="center" vertical="center"/>
    </xf>
    <xf numFmtId="0" fontId="49" fillId="8" borderId="118" xfId="0" applyFont="1" applyFill="1" applyBorder="1" applyAlignment="1">
      <alignment horizontal="center" vertical="center"/>
    </xf>
    <xf numFmtId="0" fontId="32" fillId="0" borderId="119" xfId="0" applyFont="1" applyBorder="1" applyAlignment="1">
      <alignment horizontal="center" vertical="center" wrapText="1"/>
    </xf>
    <xf numFmtId="0" fontId="32" fillId="0" borderId="120" xfId="0" applyFont="1" applyBorder="1" applyAlignment="1">
      <alignment horizontal="center" vertical="center" wrapText="1"/>
    </xf>
    <xf numFmtId="0" fontId="37" fillId="0" borderId="102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121" xfId="0" applyFont="1" applyBorder="1" applyAlignment="1">
      <alignment horizontal="center" vertical="center" wrapText="1"/>
    </xf>
    <xf numFmtId="0" fontId="35" fillId="8" borderId="4" xfId="0" applyFont="1" applyFill="1" applyBorder="1" applyAlignment="1">
      <alignment horizontal="left" vertical="center" wrapText="1"/>
    </xf>
    <xf numFmtId="0" fontId="35" fillId="8" borderId="125" xfId="0" applyFont="1" applyFill="1" applyBorder="1" applyAlignment="1">
      <alignment horizontal="left" vertical="center" wrapText="1"/>
    </xf>
    <xf numFmtId="0" fontId="35" fillId="8" borderId="4" xfId="0" applyFont="1" applyFill="1" applyBorder="1" applyAlignment="1">
      <alignment horizontal="center" vertical="center" wrapText="1"/>
    </xf>
    <xf numFmtId="166" fontId="37" fillId="0" borderId="0" xfId="0" applyNumberFormat="1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5" fillId="8" borderId="20" xfId="0" applyFont="1" applyFill="1" applyBorder="1" applyAlignment="1">
      <alignment horizontal="center" vertical="center" wrapText="1"/>
    </xf>
    <xf numFmtId="0" fontId="35" fillId="8" borderId="125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5" fillId="8" borderId="21" xfId="0" applyFont="1" applyFill="1" applyBorder="1" applyAlignment="1">
      <alignment horizontal="center" vertical="center" wrapText="1"/>
    </xf>
    <xf numFmtId="0" fontId="35" fillId="8" borderId="19" xfId="0" applyFont="1" applyFill="1" applyBorder="1" applyAlignment="1">
      <alignment horizontal="center" vertical="center" wrapText="1"/>
    </xf>
    <xf numFmtId="0" fontId="35" fillId="8" borderId="124" xfId="0" applyFont="1" applyFill="1" applyBorder="1" applyAlignment="1">
      <alignment horizontal="center" vertical="center" wrapText="1"/>
    </xf>
    <xf numFmtId="0" fontId="35" fillId="8" borderId="18" xfId="0" applyFont="1" applyFill="1" applyBorder="1" applyAlignment="1">
      <alignment horizontal="center" vertical="center" wrapText="1"/>
    </xf>
    <xf numFmtId="0" fontId="35" fillId="8" borderId="18" xfId="0" applyFont="1" applyFill="1" applyBorder="1" applyAlignment="1">
      <alignment horizontal="left" vertical="center" wrapText="1"/>
    </xf>
    <xf numFmtId="0" fontId="35" fillId="8" borderId="130" xfId="0" applyFont="1" applyFill="1" applyBorder="1" applyAlignment="1">
      <alignment horizontal="center" vertical="center" wrapText="1"/>
    </xf>
    <xf numFmtId="0" fontId="37" fillId="10" borderId="4" xfId="0" applyFont="1" applyFill="1" applyBorder="1" applyAlignment="1">
      <alignment horizontal="center" vertical="center" textRotation="255"/>
    </xf>
    <xf numFmtId="0" fontId="55" fillId="10" borderId="11" xfId="0" applyFont="1" applyFill="1" applyBorder="1" applyAlignment="1">
      <alignment horizontal="left" vertical="center" wrapText="1"/>
    </xf>
    <xf numFmtId="0" fontId="55" fillId="10" borderId="12" xfId="0" applyFont="1" applyFill="1" applyBorder="1" applyAlignment="1">
      <alignment horizontal="left" vertical="center" wrapText="1"/>
    </xf>
    <xf numFmtId="0" fontId="8" fillId="8" borderId="0" xfId="0" applyFont="1" applyFill="1" applyAlignment="1">
      <alignment horizontal="center" vertical="center" wrapText="1"/>
    </xf>
    <xf numFmtId="0" fontId="9" fillId="7" borderId="8" xfId="0" applyFont="1" applyFill="1" applyBorder="1" applyAlignment="1">
      <alignment horizontal="left" vertical="center" wrapText="1"/>
    </xf>
    <xf numFmtId="0" fontId="9" fillId="7" borderId="7" xfId="0" applyFont="1" applyFill="1" applyBorder="1" applyAlignment="1">
      <alignment horizontal="left" vertical="center" wrapText="1"/>
    </xf>
    <xf numFmtId="0" fontId="8" fillId="8" borderId="7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3" fillId="0" borderId="96" xfId="0" applyFont="1" applyBorder="1" applyAlignment="1">
      <alignment horizontal="justify" vertical="center" wrapText="1"/>
    </xf>
    <xf numFmtId="0" fontId="53" fillId="0" borderId="99" xfId="0" applyFont="1" applyBorder="1" applyAlignment="1">
      <alignment horizontal="justify" vertical="center" wrapText="1"/>
    </xf>
    <xf numFmtId="0" fontId="9" fillId="8" borderId="15" xfId="0" applyFont="1" applyFill="1" applyBorder="1" applyAlignment="1">
      <alignment horizontal="center" vertical="center" wrapText="1"/>
    </xf>
    <xf numFmtId="0" fontId="9" fillId="8" borderId="23" xfId="0" applyFont="1" applyFill="1" applyBorder="1" applyAlignment="1">
      <alignment horizontal="center" vertical="center" wrapText="1"/>
    </xf>
    <xf numFmtId="0" fontId="9" fillId="8" borderId="24" xfId="0" applyFont="1" applyFill="1" applyBorder="1" applyAlignment="1">
      <alignment horizontal="center" vertical="center" wrapText="1"/>
    </xf>
    <xf numFmtId="0" fontId="9" fillId="8" borderId="98" xfId="0" applyFont="1" applyFill="1" applyBorder="1" applyAlignment="1">
      <alignment horizontal="center" vertical="center" wrapText="1"/>
    </xf>
    <xf numFmtId="0" fontId="9" fillId="8" borderId="102" xfId="0" applyFont="1" applyFill="1" applyBorder="1" applyAlignment="1">
      <alignment horizontal="center" vertical="center" wrapText="1"/>
    </xf>
    <xf numFmtId="0" fontId="9" fillId="8" borderId="103" xfId="0" applyFont="1" applyFill="1" applyBorder="1" applyAlignment="1">
      <alignment horizontal="center" vertical="center" wrapText="1"/>
    </xf>
    <xf numFmtId="0" fontId="9" fillId="8" borderId="81" xfId="0" applyFont="1" applyFill="1" applyBorder="1" applyAlignment="1">
      <alignment horizontal="center" vertical="center" wrapText="1"/>
    </xf>
    <xf numFmtId="0" fontId="9" fillId="8" borderId="82" xfId="0" applyFont="1" applyFill="1" applyBorder="1" applyAlignment="1">
      <alignment horizontal="center" vertical="center" wrapText="1"/>
    </xf>
    <xf numFmtId="0" fontId="9" fillId="8" borderId="97" xfId="0" applyFont="1" applyFill="1" applyBorder="1" applyAlignment="1">
      <alignment horizontal="center" vertical="center" wrapText="1"/>
    </xf>
    <xf numFmtId="0" fontId="9" fillId="8" borderId="72" xfId="0" applyFont="1" applyFill="1" applyBorder="1" applyAlignment="1">
      <alignment horizontal="left" vertical="center" wrapText="1"/>
    </xf>
    <xf numFmtId="0" fontId="9" fillId="8" borderId="83" xfId="0" applyFont="1" applyFill="1" applyBorder="1" applyAlignment="1">
      <alignment horizontal="left" vertical="center" wrapText="1"/>
    </xf>
    <xf numFmtId="0" fontId="9" fillId="8" borderId="96" xfId="0" applyFont="1" applyFill="1" applyBorder="1" applyAlignment="1">
      <alignment horizontal="left" vertical="center" wrapText="1"/>
    </xf>
    <xf numFmtId="166" fontId="10" fillId="0" borderId="0" xfId="0" applyNumberFormat="1" applyFont="1" applyAlignment="1">
      <alignment horizontal="center" vertical="center" wrapText="1"/>
    </xf>
    <xf numFmtId="0" fontId="10" fillId="0" borderId="79" xfId="0" applyFont="1" applyBorder="1" applyAlignment="1">
      <alignment horizontal="center" vertical="center" wrapText="1"/>
    </xf>
    <xf numFmtId="0" fontId="10" fillId="0" borderId="95" xfId="0" applyFont="1" applyBorder="1" applyAlignment="1">
      <alignment horizontal="center" vertical="center" wrapText="1"/>
    </xf>
    <xf numFmtId="0" fontId="9" fillId="8" borderId="77" xfId="0" applyFont="1" applyFill="1" applyBorder="1" applyAlignment="1">
      <alignment horizontal="center" vertical="center" wrapText="1"/>
    </xf>
    <xf numFmtId="0" fontId="9" fillId="8" borderId="70" xfId="0" applyFont="1" applyFill="1" applyBorder="1" applyAlignment="1">
      <alignment horizontal="center" vertical="center" wrapText="1"/>
    </xf>
    <xf numFmtId="0" fontId="9" fillId="8" borderId="104" xfId="0" applyFont="1" applyFill="1" applyBorder="1" applyAlignment="1">
      <alignment horizontal="center" vertical="center" wrapText="1"/>
    </xf>
    <xf numFmtId="0" fontId="9" fillId="8" borderId="105" xfId="0" applyFont="1" applyFill="1" applyBorder="1" applyAlignment="1">
      <alignment horizontal="center" vertical="center" wrapText="1"/>
    </xf>
    <xf numFmtId="0" fontId="9" fillId="8" borderId="79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12" fillId="11" borderId="4" xfId="0" applyFont="1" applyFill="1" applyBorder="1" applyAlignment="1">
      <alignment horizontal="center" vertical="center" wrapText="1"/>
    </xf>
    <xf numFmtId="0" fontId="12" fillId="12" borderId="4" xfId="0" applyFont="1" applyFill="1" applyBorder="1" applyAlignment="1">
      <alignment horizontal="center" vertical="center" wrapText="1"/>
    </xf>
    <xf numFmtId="0" fontId="12" fillId="13" borderId="4" xfId="0" applyFont="1" applyFill="1" applyBorder="1" applyAlignment="1">
      <alignment horizontal="center" vertical="center"/>
    </xf>
    <xf numFmtId="0" fontId="12" fillId="13" borderId="8" xfId="0" applyFont="1" applyFill="1" applyBorder="1" applyAlignment="1">
      <alignment horizontal="center" vertical="center"/>
    </xf>
    <xf numFmtId="0" fontId="12" fillId="13" borderId="7" xfId="0" applyFont="1" applyFill="1" applyBorder="1" applyAlignment="1">
      <alignment horizontal="center" vertical="center"/>
    </xf>
  </cellXfs>
  <cellStyles count="9">
    <cellStyle name="Comma" xfId="2" builtinId="3"/>
    <cellStyle name="Comma [0]" xfId="3" builtinId="6"/>
    <cellStyle name="Currency" xfId="5" builtinId="4"/>
    <cellStyle name="Currency [0]" xfId="6" builtinId="7"/>
    <cellStyle name="Estilo 1" xfId="1" xr:uid="{00000000-0005-0000-0000-000000000000}"/>
    <cellStyle name="Millares 2" xfId="4" xr:uid="{00000000-0005-0000-0000-000003000000}"/>
    <cellStyle name="Moneda 2" xfId="7" xr:uid="{00000000-0005-0000-0000-000006000000}"/>
    <cellStyle name="Normal" xfId="0" builtinId="0"/>
    <cellStyle name="Percent" xfId="8" builtinId="5"/>
  </cellStyles>
  <dxfs count="95">
    <dxf>
      <font>
        <b/>
        <i val="0"/>
        <color auto="1"/>
        <name val="Cambria"/>
        <scheme val="none"/>
      </font>
      <fill>
        <patternFill>
          <bgColor theme="0" tint="-0.14996795556505021"/>
        </patternFill>
      </fill>
    </dxf>
    <dxf>
      <font>
        <color rgb="FFFFFF00"/>
      </font>
      <fill>
        <patternFill>
          <fgColor rgb="FFFF0000"/>
          <bgColor rgb="FFFF0000"/>
        </patternFill>
      </fill>
    </dxf>
    <dxf>
      <fill>
        <patternFill>
          <bgColor rgb="FF92D05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auto="1"/>
        <name val="Cambria"/>
        <scheme val="none"/>
      </font>
      <fill>
        <patternFill>
          <bgColor theme="0" tint="-0.14996795556505021"/>
        </patternFill>
      </fill>
    </dxf>
    <dxf>
      <font>
        <b/>
        <i val="0"/>
        <color auto="1"/>
        <name val="Cambria"/>
        <scheme val="none"/>
      </font>
      <fill>
        <patternFill>
          <bgColor theme="0" tint="-0.14996795556505021"/>
        </patternFill>
      </fill>
    </dxf>
    <dxf>
      <font>
        <b/>
        <i val="0"/>
        <color auto="1"/>
        <name val="Cambria"/>
        <scheme val="none"/>
      </font>
      <fill>
        <patternFill>
          <bgColor theme="0" tint="-0.14996795556505021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92D05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 patternType="solid">
          <fgColor indexed="64"/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  <name val="Cambria"/>
        <scheme val="none"/>
      </font>
      <fill>
        <patternFill patternType="solid">
          <fgColor indexed="64"/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theme="0" tint="-0.14996795556505021"/>
        </patternFill>
      </fill>
    </dxf>
    <dxf>
      <font>
        <color rgb="FFFFFF00"/>
      </font>
      <fill>
        <patternFill>
          <fgColor rgb="FFFF0000"/>
          <bgColor rgb="FFFF0000"/>
        </patternFill>
      </fill>
    </dxf>
    <dxf>
      <fill>
        <patternFill>
          <bgColor rgb="FF92D05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auto="1"/>
        <name val="Cambria"/>
        <scheme val="none"/>
      </font>
      <fill>
        <patternFill>
          <bgColor theme="0" tint="-0.14996795556505021"/>
        </patternFill>
      </fill>
    </dxf>
    <dxf>
      <font>
        <b/>
        <i val="0"/>
        <color auto="1"/>
        <name val="Cambria"/>
        <scheme val="none"/>
      </font>
      <fill>
        <patternFill>
          <bgColor theme="0" tint="-0.14996795556505021"/>
        </patternFill>
      </fill>
    </dxf>
    <dxf>
      <font>
        <b/>
        <i val="0"/>
        <color auto="1"/>
        <name val="Cambria"/>
        <scheme val="none"/>
      </font>
      <fill>
        <patternFill>
          <bgColor theme="0" tint="-0.14996795556505021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92D05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  <name val="Cambria"/>
        <scheme val="none"/>
      </font>
      <fill>
        <patternFill patternType="solid">
          <fgColor indexed="64"/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theme="0" tint="-0.14996795556505021"/>
        </patternFill>
      </fill>
    </dxf>
    <dxf>
      <font>
        <color rgb="FFFFFF00"/>
      </font>
      <fill>
        <patternFill>
          <fgColor rgb="FFFF0000"/>
          <bgColor rgb="FFFF0000"/>
        </patternFill>
      </fill>
    </dxf>
    <dxf>
      <fill>
        <patternFill>
          <bgColor rgb="FF92D05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auto="1"/>
        <name val="Cambria"/>
        <scheme val="none"/>
      </font>
      <fill>
        <patternFill>
          <bgColor theme="0" tint="-0.14996795556505021"/>
        </patternFill>
      </fill>
    </dxf>
    <dxf>
      <font>
        <b/>
        <i val="0"/>
        <color auto="1"/>
        <name val="Cambria"/>
        <scheme val="none"/>
      </font>
      <fill>
        <patternFill>
          <bgColor theme="0" tint="-0.14996795556505021"/>
        </patternFill>
      </fill>
    </dxf>
    <dxf>
      <font>
        <b/>
        <i val="0"/>
        <color auto="1"/>
        <name val="Cambria"/>
        <scheme val="none"/>
      </font>
      <fill>
        <patternFill>
          <bgColor theme="0" tint="-0.14996795556505021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92D05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auto="1"/>
      </font>
      <fill>
        <patternFill>
          <bgColor rgb="FFFF2D2D"/>
        </patternFill>
      </fill>
    </dxf>
    <dxf>
      <font>
        <b/>
        <i val="0"/>
        <color auto="1"/>
      </font>
      <fill>
        <patternFill>
          <bgColor rgb="FFFF2D2D"/>
        </patternFill>
      </fill>
    </dxf>
    <dxf>
      <font>
        <b/>
        <i val="0"/>
        <color auto="1"/>
      </font>
      <fill>
        <patternFill>
          <bgColor rgb="FFFF2D2D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0"/>
      </font>
      <fill>
        <patternFill>
          <bgColor theme="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color theme="4" tint="0.79998168889431442"/>
      </font>
      <fill>
        <patternFill>
          <bgColor theme="4" tint="0.799981688894314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0"/>
      </font>
    </dxf>
    <dxf>
      <font>
        <color theme="0"/>
      </font>
      <fill>
        <patternFill>
          <bgColor theme="3" tint="-0.24994659260841701"/>
        </patternFill>
      </fill>
    </dxf>
    <dxf>
      <font>
        <color theme="3" tint="-0.24994659260841701"/>
      </font>
      <fill>
        <patternFill>
          <bgColor theme="3" tint="-0.24994659260841701"/>
        </patternFill>
      </fill>
    </dxf>
    <dxf>
      <font>
        <color theme="4" tint="-0.499984740745262"/>
      </font>
      <fill>
        <patternFill>
          <bgColor theme="3" tint="-0.24994659260841701"/>
        </patternFill>
      </fill>
    </dxf>
    <dxf>
      <font>
        <color auto="1"/>
      </font>
      <fill>
        <patternFill>
          <bgColor theme="4" tint="0.799981688894314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0"/>
      </font>
      <fill>
        <patternFill>
          <bgColor theme="0"/>
        </patternFill>
      </fill>
      <border>
        <left style="thin">
          <color theme="3" tint="-0.24994659260841701"/>
        </left>
        <right style="thin">
          <color theme="3" tint="-0.24994659260841701"/>
        </right>
        <top style="thin">
          <color theme="3" tint="-0.24994659260841701"/>
        </top>
        <bottom style="thin">
          <color theme="3" tint="-0.24994659260841701"/>
        </bottom>
      </border>
    </dxf>
    <dxf>
      <font>
        <color theme="0"/>
      </font>
    </dxf>
    <dxf>
      <font>
        <b val="0"/>
        <i val="0"/>
        <color theme="0"/>
      </font>
    </dxf>
    <dxf>
      <font>
        <color auto="1"/>
      </font>
      <fill>
        <patternFill>
          <bgColor theme="4" tint="0.59996337778862885"/>
        </patternFill>
      </fill>
      <border>
        <left style="thin">
          <color theme="3" tint="-0.24994659260841701"/>
        </left>
        <right style="thin">
          <color theme="3" tint="-0.24994659260841701"/>
        </right>
        <top style="thin">
          <color theme="3" tint="-0.24994659260841701"/>
        </top>
        <bottom style="thin">
          <color theme="3" tint="-0.24994659260841701"/>
        </bottom>
      </border>
    </dxf>
  </dxfs>
  <tableStyles count="0" defaultTableStyle="TableStyleMedium2" defaultPivotStyle="PivotStyleLight16"/>
  <colors>
    <mruColors>
      <color rgb="FFFF2D2D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5663987</xdr:colOff>
      <xdr:row>6</xdr:row>
      <xdr:rowOff>79401</xdr:rowOff>
    </xdr:from>
    <xdr:to>
      <xdr:col>1</xdr:col>
      <xdr:colOff>6347624</xdr:colOff>
      <xdr:row>6</xdr:row>
      <xdr:rowOff>241827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68530" y="3076291"/>
          <a:ext cx="683637" cy="162426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L"/>
        </a:p>
      </xdr:txBody>
    </xdr:sp>
    <xdr:clientData/>
  </xdr:twoCellAnchor>
  <xdr:twoCellAnchor>
    <xdr:from>
      <xdr:col>1</xdr:col>
      <xdr:colOff>5641898</xdr:colOff>
      <xdr:row>6</xdr:row>
      <xdr:rowOff>42333</xdr:rowOff>
    </xdr:from>
    <xdr:to>
      <xdr:col>1</xdr:col>
      <xdr:colOff>6391080</xdr:colOff>
      <xdr:row>7</xdr:row>
      <xdr:rowOff>76200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46441" y="3039223"/>
          <a:ext cx="749182" cy="3474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 b="1"/>
            <a:t>       $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42386</xdr:colOff>
      <xdr:row>8</xdr:row>
      <xdr:rowOff>85726</xdr:rowOff>
    </xdr:from>
    <xdr:to>
      <xdr:col>9</xdr:col>
      <xdr:colOff>762954</xdr:colOff>
      <xdr:row>10</xdr:row>
      <xdr:rowOff>38100</xdr:rowOff>
    </xdr:to>
    <xdr:sp macro="" textlink="">
      <xdr:nvSpPr>
        <xdr:cNvPr id="2" name="1 Flecha izquierd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2977336" y="542926"/>
          <a:ext cx="720568" cy="1019174"/>
        </a:xfrm>
        <a:prstGeom prst="leftArrow">
          <a:avLst/>
        </a:prstGeom>
        <a:solidFill>
          <a:schemeClr val="tx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L"/>
        </a:p>
      </xdr:txBody>
    </xdr:sp>
    <xdr:clientData/>
  </xdr:twoCellAnchor>
  <xdr:twoCellAnchor>
    <xdr:from>
      <xdr:col>9</xdr:col>
      <xdr:colOff>42862</xdr:colOff>
      <xdr:row>18</xdr:row>
      <xdr:rowOff>0</xdr:rowOff>
    </xdr:from>
    <xdr:to>
      <xdr:col>9</xdr:col>
      <xdr:colOff>754447</xdr:colOff>
      <xdr:row>20</xdr:row>
      <xdr:rowOff>0</xdr:rowOff>
    </xdr:to>
    <xdr:sp macro="" textlink="">
      <xdr:nvSpPr>
        <xdr:cNvPr id="5" name="1 Flecha izquierda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1863387" y="2744628"/>
          <a:ext cx="708010" cy="712947"/>
        </a:xfrm>
        <a:prstGeom prst="leftArrow">
          <a:avLst/>
        </a:prstGeom>
        <a:solidFill>
          <a:schemeClr val="tx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L"/>
        </a:p>
      </xdr:txBody>
    </xdr:sp>
    <xdr:clientData/>
  </xdr:twoCellAnchor>
  <xdr:twoCellAnchor>
    <xdr:from>
      <xdr:col>9</xdr:col>
      <xdr:colOff>80487</xdr:colOff>
      <xdr:row>24</xdr:row>
      <xdr:rowOff>0</xdr:rowOff>
    </xdr:from>
    <xdr:to>
      <xdr:col>9</xdr:col>
      <xdr:colOff>824734</xdr:colOff>
      <xdr:row>25</xdr:row>
      <xdr:rowOff>57150</xdr:rowOff>
    </xdr:to>
    <xdr:sp macro="" textlink="">
      <xdr:nvSpPr>
        <xdr:cNvPr id="6" name="1 Flecha izquier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3015437" y="4943475"/>
          <a:ext cx="744247" cy="876300"/>
        </a:xfrm>
        <a:prstGeom prst="leftArrow">
          <a:avLst/>
        </a:prstGeom>
        <a:solidFill>
          <a:schemeClr val="tx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L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xany Barahona Ligueno" id="{0E565CD3-EF5C-43B9-AE1B-86B93D14D275}" userId="S::rbarahona@anid.cl::cc50f002-2f9b-4816-8a39-ce483614177b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7" dT="2025-01-28T13:12:04.69" personId="{0E565CD3-EF5C-43B9-AE1B-86B93D14D275}" id="{FFB68F36-F801-4D62-A82B-9C0B1F300FD0}">
    <text>Monto ingresado en Hoja DETALLE APORTES.-</text>
  </threadedComment>
  <threadedComment ref="F8" dT="2025-01-28T13:12:04.69" personId="{0E565CD3-EF5C-43B9-AE1B-86B93D14D275}" id="{CFDC694D-FA57-41CD-AA91-C158D61D1085}">
    <text>Monto ingresado en Hoja DETALLE APORTES.-</text>
  </threadedComment>
  <threadedComment ref="G10" dT="2025-01-28T13:12:04.69" personId="{0E565CD3-EF5C-43B9-AE1B-86B93D14D275}" id="{7A06E5D3-48F6-446D-A1B4-7DE04DC08036}">
    <text>Monto ingresado en Hoja DETALLE APORTES.-</text>
  </threadedComment>
  <threadedComment ref="G11" dT="2025-01-28T13:12:04.69" personId="{0E565CD3-EF5C-43B9-AE1B-86B93D14D275}" id="{1E335CB1-C5DF-404D-8E85-A58A1F765AB5}">
    <text>Monto ingresado en Hoja DETALLE APORTES.-</text>
  </threadedComment>
  <threadedComment ref="G12" dT="2025-01-28T13:12:04.69" personId="{0E565CD3-EF5C-43B9-AE1B-86B93D14D275}" id="{4BC0FAC7-1A11-47F4-86E4-C85204E60A11}">
    <text>Monto ingresado en Hoja DETALLE APORTES.-</text>
  </threadedComment>
  <threadedComment ref="F14" dT="2025-01-28T13:12:04.69" personId="{0E565CD3-EF5C-43B9-AE1B-86B93D14D275}" id="{96ECC16E-219F-49E8-9894-BEBA0192A11B}">
    <text>Monto ingresado en Hoja DETALLE APORTES.-</text>
  </threadedComment>
  <threadedComment ref="G14" dT="2025-01-28T13:12:04.69" personId="{0E565CD3-EF5C-43B9-AE1B-86B93D14D275}" id="{4A8BB480-A2EE-4798-8664-5FE64E4CDEA7}">
    <text>Monto ingresado en Hoja DETALLE APORTES.-</text>
  </threadedComment>
  <threadedComment ref="F15" dT="2025-01-28T13:12:04.69" personId="{0E565CD3-EF5C-43B9-AE1B-86B93D14D275}" id="{C0951B4A-D909-443B-8AE2-D6C3E9AB7233}">
    <text>Monto ingresado en Hoja DETALLE APORTES.-</text>
  </threadedComment>
  <threadedComment ref="G15" dT="2025-01-28T13:12:04.69" personId="{0E565CD3-EF5C-43B9-AE1B-86B93D14D275}" id="{DBBCB07C-8BDA-467D-8523-CC3F49F04FAA}">
    <text>Monto ingresado en Hoja DETALLE APORTES.-</text>
  </threadedComment>
  <threadedComment ref="F16" dT="2025-01-28T13:12:04.69" personId="{0E565CD3-EF5C-43B9-AE1B-86B93D14D275}" id="{54391F92-2FB1-BF48-AC86-5FCA10A27ABB}">
    <text>Monto ingresado en Hoja DETALLE APORTES.-</text>
  </threadedComment>
  <threadedComment ref="G16" dT="2025-01-28T13:12:04.69" personId="{0E565CD3-EF5C-43B9-AE1B-86B93D14D275}" id="{0A8C0AC1-0DD2-4B6E-9C5C-42CB64BD6667}">
    <text>Monto ingresado en Hoja DETALLE APORTES.-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G7" dT="2025-01-28T13:03:47.19" personId="{0E565CD3-EF5C-43B9-AE1B-86B93D14D275}" id="{7EDE5B45-7AC8-47F5-8264-9120E8EC5946}">
    <text>Puede modificar el monto en caso de que este aporte esté distribuido en distintas instituciones.-</text>
  </threadedComment>
  <threadedComment ref="G8" dT="2025-01-28T13:03:47.19" personId="{0E565CD3-EF5C-43B9-AE1B-86B93D14D275}" id="{89C33586-7617-41A9-9927-C3EEF1703468}">
    <text>Puede modificar el monto en caso de que este aporte esté distribuido en distintas instituciones.-</text>
  </threadedComment>
  <threadedComment ref="G9" dT="2025-01-28T13:03:47.19" personId="{0E565CD3-EF5C-43B9-AE1B-86B93D14D275}" id="{75B59B58-F912-4988-80D5-555831CC8556}">
    <text>Puede modificar el monto en caso de que este aporte esté distribuido en distintas instituciones.-</text>
  </threadedComment>
  <threadedComment ref="G11" dT="2025-01-28T13:03:47.19" personId="{0E565CD3-EF5C-43B9-AE1B-86B93D14D275}" id="{F6ED456A-0283-4CCC-9F94-F10A9C4FB954}">
    <text>Puede modificar el monto en caso de que este aporte esté distribuido en distintas instituciones.-</text>
  </threadedComment>
  <threadedComment ref="G12" dT="2025-01-28T13:03:47.19" personId="{0E565CD3-EF5C-43B9-AE1B-86B93D14D275}" id="{BF38B127-74C0-45FF-8532-13088784B80B}">
    <text>Puede modificar el monto en caso de que este aporte esté distribuido en distintas instituciones.-</text>
  </threadedComment>
  <threadedComment ref="G13" dT="2025-01-28T13:03:47.19" personId="{0E565CD3-EF5C-43B9-AE1B-86B93D14D275}" id="{8FFC5D1E-1884-40B0-B0C2-9C506B913365}">
    <text>Puede modificar el monto en caso de que este aporte esté distribuido en distintas instituciones.-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00000"/>
  </sheetPr>
  <dimension ref="B1:H14"/>
  <sheetViews>
    <sheetView showGridLines="0" topLeftCell="A11" zoomScale="90" zoomScaleNormal="90" workbookViewId="0">
      <selection activeCell="B1" sqref="B1"/>
    </sheetView>
  </sheetViews>
  <sheetFormatPr baseColWidth="10" defaultColWidth="11.5" defaultRowHeight="15" x14ac:dyDescent="0.2"/>
  <cols>
    <col min="1" max="1" width="1.5" customWidth="1"/>
    <col min="2" max="2" width="226.5" customWidth="1"/>
    <col min="3" max="3" width="5.6640625" customWidth="1"/>
    <col min="6" max="6" width="15" customWidth="1"/>
    <col min="13" max="13" width="7.6640625" customWidth="1"/>
  </cols>
  <sheetData>
    <row r="1" spans="2:8" s="261" customFormat="1" ht="21" customHeight="1" x14ac:dyDescent="0.25">
      <c r="B1" s="260" t="s">
        <v>0</v>
      </c>
    </row>
    <row r="2" spans="2:8" ht="9.5" customHeight="1" x14ac:dyDescent="0.2"/>
    <row r="3" spans="2:8" ht="50.5" customHeight="1" x14ac:dyDescent="0.2">
      <c r="B3" s="224" t="s">
        <v>1</v>
      </c>
      <c r="C3" s="225"/>
      <c r="D3" s="225"/>
      <c r="E3" s="225"/>
      <c r="F3" s="225"/>
      <c r="G3" s="225"/>
      <c r="H3" s="225"/>
    </row>
    <row r="4" spans="2:8" ht="22.5" customHeight="1" x14ac:dyDescent="0.2">
      <c r="B4" s="226" t="s">
        <v>2</v>
      </c>
    </row>
    <row r="5" spans="2:8" ht="110" customHeight="1" x14ac:dyDescent="0.2">
      <c r="B5" s="343" t="s">
        <v>3</v>
      </c>
    </row>
    <row r="6" spans="2:8" ht="22.5" customHeight="1" x14ac:dyDescent="0.2">
      <c r="B6" s="226" t="s">
        <v>4</v>
      </c>
    </row>
    <row r="7" spans="2:8" ht="25.25" customHeight="1" x14ac:dyDescent="0.2">
      <c r="B7" s="344" t="s">
        <v>5</v>
      </c>
    </row>
    <row r="8" spans="2:8" ht="25.25" customHeight="1" x14ac:dyDescent="0.2">
      <c r="B8" s="345" t="s">
        <v>6</v>
      </c>
    </row>
    <row r="9" spans="2:8" ht="48.75" customHeight="1" x14ac:dyDescent="0.2">
      <c r="B9" s="347" t="s">
        <v>7</v>
      </c>
    </row>
    <row r="10" spans="2:8" ht="38" customHeight="1" x14ac:dyDescent="0.2">
      <c r="B10" s="345" t="s">
        <v>8</v>
      </c>
    </row>
    <row r="11" spans="2:8" ht="51.75" customHeight="1" x14ac:dyDescent="0.2">
      <c r="B11" s="347" t="s">
        <v>9</v>
      </c>
    </row>
    <row r="12" spans="2:8" ht="25.25" customHeight="1" x14ac:dyDescent="0.2">
      <c r="B12" s="346" t="s">
        <v>10</v>
      </c>
    </row>
    <row r="13" spans="2:8" ht="25.25" customHeight="1" x14ac:dyDescent="0.2">
      <c r="B13" s="345" t="s">
        <v>11</v>
      </c>
    </row>
    <row r="14" spans="2:8" ht="34.5" customHeight="1" x14ac:dyDescent="0.2">
      <c r="B14" s="344" t="s">
        <v>12</v>
      </c>
    </row>
  </sheetData>
  <sheetProtection algorithmName="SHA-512" hashValue="XuDlcmYwwQukuMjaQ8+wIeics8knS7dQ8Jbq7v2kweMDUOudSRLcmNX2s2W5r1THnZChbxqFNnLtvIPJC6F1PA==" saltValue="onqWXd87DcFOE74P4BPUKg==" spinCount="100000" sheet="1" selectLockedCells="1" selectUnlockedCells="1"/>
  <printOptions horizontalCentered="1"/>
  <pageMargins left="0" right="0" top="0.78740157480314965" bottom="0.98425196850393704" header="0.31496062992125984" footer="0.59055118110236227"/>
  <pageSetup scale="75" orientation="landscape" r:id="rId1"/>
  <headerFooter alignWithMargins="0">
    <oddFooter>&amp;L&amp;A - &amp;F
&amp;D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22"/>
  <sheetViews>
    <sheetView zoomScale="90" zoomScaleNormal="90" workbookViewId="0">
      <selection activeCell="S4" sqref="S4"/>
    </sheetView>
  </sheetViews>
  <sheetFormatPr baseColWidth="10" defaultColWidth="11.5" defaultRowHeight="15" x14ac:dyDescent="0.2"/>
  <cols>
    <col min="1" max="1" width="35.33203125" style="269" customWidth="1"/>
    <col min="2" max="2" width="27.83203125" style="295" customWidth="1"/>
    <col min="3" max="3" width="14.6640625" style="2" customWidth="1"/>
    <col min="4" max="4" width="12.5" style="2" customWidth="1"/>
    <col min="5" max="5" width="4.6640625" style="2" customWidth="1"/>
    <col min="6" max="6" width="14.6640625" style="2" customWidth="1"/>
    <col min="7" max="7" width="12.5" style="2" customWidth="1"/>
    <col min="8" max="8" width="5.33203125" style="2" customWidth="1"/>
    <col min="9" max="9" width="14.6640625" style="2" customWidth="1"/>
    <col min="10" max="10" width="12.5" style="2" customWidth="1"/>
    <col min="11" max="12" width="11.5" style="2"/>
    <col min="13" max="13" width="4.6640625" customWidth="1"/>
    <col min="14" max="14" width="14.6640625" style="2" customWidth="1"/>
    <col min="15" max="15" width="12.5" style="2" customWidth="1"/>
    <col min="16" max="17" width="11.5" style="2"/>
    <col min="18" max="18" width="4.6640625" customWidth="1"/>
    <col min="19" max="16384" width="11.5" style="2"/>
  </cols>
  <sheetData>
    <row r="1" spans="1:21" ht="20.5" customHeight="1" x14ac:dyDescent="0.2">
      <c r="C1" s="493" t="s">
        <v>141</v>
      </c>
      <c r="D1" s="493"/>
      <c r="E1" s="269"/>
      <c r="F1" s="494" t="s">
        <v>142</v>
      </c>
      <c r="G1" s="494"/>
      <c r="I1" s="495" t="s">
        <v>143</v>
      </c>
      <c r="J1" s="495"/>
      <c r="N1" s="495" t="s">
        <v>143</v>
      </c>
      <c r="O1" s="495"/>
    </row>
    <row r="2" spans="1:21" ht="18" customHeight="1" x14ac:dyDescent="0.2">
      <c r="C2" s="270" t="s">
        <v>144</v>
      </c>
      <c r="D2" s="271"/>
      <c r="E2" s="272"/>
      <c r="F2" s="270" t="s">
        <v>144</v>
      </c>
      <c r="G2" s="271"/>
      <c r="I2" s="270" t="s">
        <v>144</v>
      </c>
      <c r="J2" s="271"/>
      <c r="K2" s="497" t="s">
        <v>145</v>
      </c>
      <c r="L2" s="498"/>
      <c r="N2" s="270" t="s">
        <v>144</v>
      </c>
      <c r="O2" s="271"/>
      <c r="P2" s="497" t="s">
        <v>145</v>
      </c>
      <c r="Q2" s="498"/>
      <c r="S2" s="496" t="s">
        <v>145</v>
      </c>
      <c r="T2" s="496"/>
      <c r="U2" s="496"/>
    </row>
    <row r="3" spans="1:21" ht="15.5" customHeight="1" x14ac:dyDescent="0.2">
      <c r="B3" s="297" t="s">
        <v>146</v>
      </c>
      <c r="C3" s="273" t="s">
        <v>147</v>
      </c>
      <c r="D3" s="274" t="s">
        <v>148</v>
      </c>
      <c r="E3" s="275"/>
      <c r="F3" s="273" t="s">
        <v>147</v>
      </c>
      <c r="G3" s="274" t="s">
        <v>148</v>
      </c>
      <c r="H3" s="275"/>
      <c r="I3" s="276" t="s">
        <v>147</v>
      </c>
      <c r="J3" s="277" t="s">
        <v>148</v>
      </c>
      <c r="K3" s="278" t="s">
        <v>149</v>
      </c>
      <c r="L3" s="279" t="s">
        <v>150</v>
      </c>
      <c r="N3" s="276" t="s">
        <v>147</v>
      </c>
      <c r="O3" s="277" t="s">
        <v>148</v>
      </c>
      <c r="P3" s="278" t="s">
        <v>149</v>
      </c>
      <c r="Q3" s="279" t="s">
        <v>150</v>
      </c>
      <c r="S3" s="278" t="s">
        <v>149</v>
      </c>
      <c r="T3" s="279" t="s">
        <v>150</v>
      </c>
      <c r="U3" s="279" t="s">
        <v>151</v>
      </c>
    </row>
    <row r="4" spans="1:21" ht="22.25" customHeight="1" x14ac:dyDescent="0.2">
      <c r="A4" s="280" t="s">
        <v>67</v>
      </c>
      <c r="B4" s="296"/>
      <c r="C4" s="281"/>
      <c r="D4" s="282">
        <f>+C4*$D$2</f>
        <v>0</v>
      </c>
      <c r="E4" s="275"/>
      <c r="F4" s="281"/>
      <c r="G4" s="282">
        <f t="shared" ref="G4:G10" si="0">+F4*$G$2</f>
        <v>0</v>
      </c>
      <c r="H4" s="275"/>
      <c r="I4" s="283"/>
      <c r="J4" s="282">
        <f t="shared" ref="J4:J10" si="1">+I4*$J$2</f>
        <v>0</v>
      </c>
      <c r="K4" s="282"/>
      <c r="L4" s="282"/>
      <c r="N4" s="283"/>
      <c r="O4" s="282">
        <f t="shared" ref="O4:O10" si="2">+N4*$J$2</f>
        <v>0</v>
      </c>
      <c r="P4" s="282"/>
      <c r="Q4" s="282"/>
      <c r="S4" s="282">
        <f t="shared" ref="S4:T10" si="3">SUMIF($I$3:$Q$3,S$3,$I4:$Q4)</f>
        <v>0</v>
      </c>
      <c r="T4" s="282">
        <f t="shared" si="3"/>
        <v>0</v>
      </c>
      <c r="U4" s="284">
        <f>SUM(S4:T4)</f>
        <v>0</v>
      </c>
    </row>
    <row r="5" spans="1:21" ht="22.25" customHeight="1" x14ac:dyDescent="0.2">
      <c r="A5" s="280" t="s">
        <v>32</v>
      </c>
      <c r="B5" s="296"/>
      <c r="C5" s="281"/>
      <c r="D5" s="282">
        <f t="shared" ref="D5:D10" si="4">+C5*$D$2</f>
        <v>0</v>
      </c>
      <c r="E5" s="275"/>
      <c r="F5" s="281"/>
      <c r="G5" s="282">
        <f t="shared" si="0"/>
        <v>0</v>
      </c>
      <c r="H5" s="275"/>
      <c r="I5" s="283"/>
      <c r="J5" s="282">
        <f t="shared" si="1"/>
        <v>0</v>
      </c>
      <c r="K5" s="282"/>
      <c r="L5" s="282"/>
      <c r="N5" s="283"/>
      <c r="O5" s="282">
        <f t="shared" si="2"/>
        <v>0</v>
      </c>
      <c r="P5" s="282"/>
      <c r="Q5" s="282"/>
      <c r="S5" s="282">
        <f t="shared" si="3"/>
        <v>0</v>
      </c>
      <c r="T5" s="282">
        <f t="shared" si="3"/>
        <v>0</v>
      </c>
      <c r="U5" s="284">
        <f t="shared" ref="U5:U10" si="5">SUM(S5:T5)</f>
        <v>0</v>
      </c>
    </row>
    <row r="6" spans="1:21" ht="22.25" customHeight="1" x14ac:dyDescent="0.2">
      <c r="A6" s="280" t="s">
        <v>55</v>
      </c>
      <c r="B6" s="296"/>
      <c r="C6" s="281"/>
      <c r="D6" s="282">
        <f t="shared" si="4"/>
        <v>0</v>
      </c>
      <c r="E6" s="275"/>
      <c r="F6" s="281"/>
      <c r="G6" s="282">
        <f t="shared" si="0"/>
        <v>0</v>
      </c>
      <c r="H6" s="275"/>
      <c r="I6" s="283"/>
      <c r="J6" s="282">
        <f t="shared" si="1"/>
        <v>0</v>
      </c>
      <c r="K6" s="282"/>
      <c r="L6" s="282"/>
      <c r="N6" s="283"/>
      <c r="O6" s="282">
        <f t="shared" si="2"/>
        <v>0</v>
      </c>
      <c r="P6" s="282"/>
      <c r="Q6" s="282"/>
      <c r="S6" s="282">
        <f t="shared" si="3"/>
        <v>0</v>
      </c>
      <c r="T6" s="282">
        <f t="shared" si="3"/>
        <v>0</v>
      </c>
      <c r="U6" s="284">
        <f t="shared" si="5"/>
        <v>0</v>
      </c>
    </row>
    <row r="7" spans="1:21" ht="22.25" customHeight="1" x14ac:dyDescent="0.2">
      <c r="A7" s="280" t="s">
        <v>71</v>
      </c>
      <c r="B7" s="296"/>
      <c r="C7" s="281"/>
      <c r="D7" s="282">
        <f t="shared" si="4"/>
        <v>0</v>
      </c>
      <c r="E7" s="275"/>
      <c r="F7" s="281"/>
      <c r="G7" s="282">
        <f t="shared" si="0"/>
        <v>0</v>
      </c>
      <c r="H7" s="275"/>
      <c r="I7" s="283"/>
      <c r="J7" s="282">
        <f t="shared" si="1"/>
        <v>0</v>
      </c>
      <c r="K7" s="282"/>
      <c r="L7" s="282"/>
      <c r="N7" s="283"/>
      <c r="O7" s="282">
        <f t="shared" si="2"/>
        <v>0</v>
      </c>
      <c r="P7" s="282"/>
      <c r="Q7" s="282"/>
      <c r="S7" s="282">
        <f t="shared" si="3"/>
        <v>0</v>
      </c>
      <c r="T7" s="282">
        <f t="shared" si="3"/>
        <v>0</v>
      </c>
      <c r="U7" s="284">
        <f t="shared" si="5"/>
        <v>0</v>
      </c>
    </row>
    <row r="8" spans="1:21" ht="22.25" customHeight="1" x14ac:dyDescent="0.2">
      <c r="A8" s="280" t="s">
        <v>56</v>
      </c>
      <c r="B8" s="296"/>
      <c r="C8" s="281"/>
      <c r="D8" s="282">
        <f t="shared" si="4"/>
        <v>0</v>
      </c>
      <c r="E8" s="275"/>
      <c r="F8" s="281"/>
      <c r="G8" s="282">
        <f t="shared" si="0"/>
        <v>0</v>
      </c>
      <c r="H8" s="275"/>
      <c r="I8" s="283"/>
      <c r="J8" s="282">
        <f t="shared" si="1"/>
        <v>0</v>
      </c>
      <c r="K8" s="282"/>
      <c r="L8" s="282"/>
      <c r="N8" s="283"/>
      <c r="O8" s="282">
        <f t="shared" si="2"/>
        <v>0</v>
      </c>
      <c r="P8" s="282"/>
      <c r="Q8" s="282"/>
      <c r="S8" s="282">
        <f t="shared" si="3"/>
        <v>0</v>
      </c>
      <c r="T8" s="282">
        <f t="shared" si="3"/>
        <v>0</v>
      </c>
      <c r="U8" s="284">
        <f t="shared" si="5"/>
        <v>0</v>
      </c>
    </row>
    <row r="9" spans="1:21" ht="22.25" customHeight="1" x14ac:dyDescent="0.2">
      <c r="A9" s="280" t="s">
        <v>57</v>
      </c>
      <c r="B9" s="296"/>
      <c r="C9" s="281"/>
      <c r="D9" s="282">
        <f t="shared" si="4"/>
        <v>0</v>
      </c>
      <c r="E9" s="275"/>
      <c r="F9" s="281"/>
      <c r="G9" s="282">
        <f t="shared" si="0"/>
        <v>0</v>
      </c>
      <c r="H9" s="275"/>
      <c r="I9" s="283"/>
      <c r="J9" s="282">
        <f t="shared" si="1"/>
        <v>0</v>
      </c>
      <c r="K9" s="282"/>
      <c r="L9" s="282"/>
      <c r="N9" s="283"/>
      <c r="O9" s="282">
        <f t="shared" si="2"/>
        <v>0</v>
      </c>
      <c r="P9" s="282"/>
      <c r="Q9" s="282"/>
      <c r="S9" s="282">
        <f t="shared" si="3"/>
        <v>0</v>
      </c>
      <c r="T9" s="282">
        <f t="shared" si="3"/>
        <v>0</v>
      </c>
      <c r="U9" s="284">
        <f t="shared" si="5"/>
        <v>0</v>
      </c>
    </row>
    <row r="10" spans="1:21" ht="22.25" customHeight="1" x14ac:dyDescent="0.2">
      <c r="A10" s="280" t="s">
        <v>58</v>
      </c>
      <c r="B10" s="296"/>
      <c r="C10" s="281"/>
      <c r="D10" s="282">
        <f t="shared" si="4"/>
        <v>0</v>
      </c>
      <c r="E10" s="275"/>
      <c r="F10" s="281"/>
      <c r="G10" s="282">
        <f t="shared" si="0"/>
        <v>0</v>
      </c>
      <c r="H10" s="275"/>
      <c r="I10" s="283"/>
      <c r="J10" s="282">
        <f t="shared" si="1"/>
        <v>0</v>
      </c>
      <c r="K10" s="282"/>
      <c r="L10" s="282"/>
      <c r="N10" s="283"/>
      <c r="O10" s="282">
        <f t="shared" si="2"/>
        <v>0</v>
      </c>
      <c r="P10" s="282"/>
      <c r="Q10" s="282"/>
      <c r="S10" s="282">
        <f t="shared" si="3"/>
        <v>0</v>
      </c>
      <c r="T10" s="282">
        <f t="shared" si="3"/>
        <v>0</v>
      </c>
      <c r="U10" s="284">
        <f t="shared" si="5"/>
        <v>0</v>
      </c>
    </row>
    <row r="11" spans="1:21" ht="22.25" customHeight="1" x14ac:dyDescent="0.2">
      <c r="C11" s="285">
        <f>SUM(C4:C10)</f>
        <v>0</v>
      </c>
      <c r="D11" s="286">
        <f>SUM(D4:D10)</f>
        <v>0</v>
      </c>
      <c r="E11" s="275"/>
      <c r="F11" s="285">
        <f>SUM(F4:F10)</f>
        <v>0</v>
      </c>
      <c r="G11" s="286">
        <f>SUM(G4:G10)</f>
        <v>0</v>
      </c>
      <c r="H11" s="275"/>
      <c r="I11" s="287">
        <f>SUM(I4:I10)</f>
        <v>0</v>
      </c>
      <c r="J11" s="288">
        <f>SUM(J4:J10)</f>
        <v>0</v>
      </c>
      <c r="K11" s="289">
        <f>SUM(K4:K10)</f>
        <v>0</v>
      </c>
      <c r="L11" s="289">
        <f>SUM(L4:L10)</f>
        <v>0</v>
      </c>
      <c r="N11" s="287">
        <f>SUM(N4:N10)</f>
        <v>0</v>
      </c>
      <c r="O11" s="288">
        <f>SUM(O4:O10)</f>
        <v>0</v>
      </c>
      <c r="P11" s="289">
        <f>SUM(P4:P10)</f>
        <v>0</v>
      </c>
      <c r="Q11" s="289">
        <f>SUM(Q4:Q10)</f>
        <v>0</v>
      </c>
      <c r="S11" s="289">
        <f>SUM(S4:S10)</f>
        <v>0</v>
      </c>
      <c r="T11" s="289">
        <f>SUM(T4:T10)</f>
        <v>0</v>
      </c>
      <c r="U11" s="289">
        <f>SUM(U4:U10)</f>
        <v>0</v>
      </c>
    </row>
    <row r="12" spans="1:21" x14ac:dyDescent="0.2">
      <c r="C12" s="290"/>
      <c r="D12" s="275"/>
      <c r="E12" s="275"/>
      <c r="F12" s="290"/>
      <c r="G12" s="275"/>
      <c r="H12" s="275"/>
      <c r="I12" s="291"/>
      <c r="J12" s="275"/>
      <c r="K12" s="275"/>
      <c r="L12" s="275"/>
      <c r="N12" s="291"/>
      <c r="O12" s="275"/>
      <c r="P12" s="275"/>
      <c r="Q12" s="275"/>
      <c r="S12" s="275"/>
      <c r="T12" s="275"/>
      <c r="U12" s="275"/>
    </row>
    <row r="13" spans="1:21" x14ac:dyDescent="0.2">
      <c r="C13" s="290"/>
      <c r="D13" s="275"/>
      <c r="E13" s="275"/>
      <c r="F13" s="290"/>
      <c r="G13" s="275"/>
      <c r="I13" s="291"/>
      <c r="J13" s="275"/>
      <c r="K13" s="275"/>
      <c r="L13" s="275"/>
      <c r="N13" s="291"/>
      <c r="O13" s="275"/>
      <c r="P13" s="275"/>
      <c r="Q13" s="275"/>
      <c r="S13" s="275"/>
      <c r="T13" s="275"/>
      <c r="U13" s="275"/>
    </row>
    <row r="14" spans="1:21" ht="16.25" customHeight="1" x14ac:dyDescent="0.2">
      <c r="A14" s="292" t="s">
        <v>67</v>
      </c>
      <c r="B14" s="296"/>
      <c r="C14" s="281">
        <f>SUMIF($A$4:$A$10,$A14,C$4:C$10)</f>
        <v>0</v>
      </c>
      <c r="D14" s="282">
        <f>SUMIF($A$4:$A$10,$A14,D$4:D$10)</f>
        <v>0</v>
      </c>
      <c r="E14" s="275"/>
      <c r="F14" s="281">
        <f>SUMIF($A$4:$A$10,$A14,F$4:F$10)</f>
        <v>0</v>
      </c>
      <c r="G14" s="282">
        <f>SUMIF($A$4:$A$10,$A14,G$4:G$10)</f>
        <v>0</v>
      </c>
      <c r="I14" s="283">
        <f>SUMIF($A$4:$A$10,$A14,I$4:I$10)</f>
        <v>0</v>
      </c>
      <c r="J14" s="282">
        <f>SUMIF($A$4:$A$10,$A14,J$4:J$10)</f>
        <v>0</v>
      </c>
      <c r="K14" s="282">
        <f>SUMIF($A$4:$A$10,$A14,K$4:K$10)</f>
        <v>0</v>
      </c>
      <c r="L14" s="282">
        <f>SUMIF($A$4:$A$10,$A14,L$4:L$10)</f>
        <v>0</v>
      </c>
      <c r="N14" s="283">
        <f>SUMIF($A$4:$A$10,$A14,N$4:N$10)</f>
        <v>0</v>
      </c>
      <c r="O14" s="282">
        <f>SUMIF($A$4:$A$10,$A14,O$4:O$10)</f>
        <v>0</v>
      </c>
      <c r="P14" s="282">
        <f>SUMIF($A$4:$A$10,$A14,P$4:P$10)</f>
        <v>0</v>
      </c>
      <c r="Q14" s="282">
        <f>SUMIF($A$4:$A$10,$A14,Q$4:Q$10)</f>
        <v>0</v>
      </c>
      <c r="R14" s="2"/>
      <c r="S14" s="282">
        <f>SUMIF($A$4:$A$10,$A14,S$4:S$10)</f>
        <v>0</v>
      </c>
      <c r="T14" s="282">
        <f>SUMIF($A$4:$A$10,$A14,T$4:T$10)</f>
        <v>0</v>
      </c>
      <c r="U14" s="282">
        <f>SUMIF($A$4:$A$10,$A14,U$4:U$10)</f>
        <v>0</v>
      </c>
    </row>
    <row r="15" spans="1:21" ht="16.25" customHeight="1" x14ac:dyDescent="0.2">
      <c r="A15" s="292" t="s">
        <v>32</v>
      </c>
      <c r="B15" s="296"/>
      <c r="C15" s="281">
        <f t="shared" ref="C15:U20" si="6">SUMIF($A$4:$A$10,$A15,C$4:C$10)</f>
        <v>0</v>
      </c>
      <c r="D15" s="282">
        <f t="shared" si="6"/>
        <v>0</v>
      </c>
      <c r="E15" s="275"/>
      <c r="F15" s="281">
        <f t="shared" si="6"/>
        <v>0</v>
      </c>
      <c r="G15" s="282">
        <f t="shared" si="6"/>
        <v>0</v>
      </c>
      <c r="I15" s="283">
        <f t="shared" si="6"/>
        <v>0</v>
      </c>
      <c r="J15" s="282">
        <f t="shared" si="6"/>
        <v>0</v>
      </c>
      <c r="K15" s="282">
        <f t="shared" si="6"/>
        <v>0</v>
      </c>
      <c r="L15" s="282">
        <f t="shared" si="6"/>
        <v>0</v>
      </c>
      <c r="N15" s="283">
        <f t="shared" si="6"/>
        <v>0</v>
      </c>
      <c r="O15" s="282">
        <f t="shared" si="6"/>
        <v>0</v>
      </c>
      <c r="P15" s="282">
        <f t="shared" si="6"/>
        <v>0</v>
      </c>
      <c r="Q15" s="282">
        <f t="shared" si="6"/>
        <v>0</v>
      </c>
      <c r="R15" s="2"/>
      <c r="S15" s="282">
        <f t="shared" si="6"/>
        <v>0</v>
      </c>
      <c r="T15" s="282">
        <f t="shared" si="6"/>
        <v>0</v>
      </c>
      <c r="U15" s="282">
        <f t="shared" si="6"/>
        <v>0</v>
      </c>
    </row>
    <row r="16" spans="1:21" ht="16.25" customHeight="1" x14ac:dyDescent="0.2">
      <c r="A16" s="292" t="s">
        <v>55</v>
      </c>
      <c r="B16" s="296"/>
      <c r="C16" s="281">
        <f t="shared" si="6"/>
        <v>0</v>
      </c>
      <c r="D16" s="282">
        <f t="shared" si="6"/>
        <v>0</v>
      </c>
      <c r="E16" s="275"/>
      <c r="F16" s="281">
        <f t="shared" si="6"/>
        <v>0</v>
      </c>
      <c r="G16" s="282">
        <f t="shared" si="6"/>
        <v>0</v>
      </c>
      <c r="I16" s="283">
        <f t="shared" si="6"/>
        <v>0</v>
      </c>
      <c r="J16" s="282">
        <f t="shared" si="6"/>
        <v>0</v>
      </c>
      <c r="K16" s="282">
        <f t="shared" si="6"/>
        <v>0</v>
      </c>
      <c r="L16" s="282">
        <f t="shared" si="6"/>
        <v>0</v>
      </c>
      <c r="N16" s="283">
        <f t="shared" si="6"/>
        <v>0</v>
      </c>
      <c r="O16" s="282">
        <f t="shared" si="6"/>
        <v>0</v>
      </c>
      <c r="P16" s="282">
        <f t="shared" si="6"/>
        <v>0</v>
      </c>
      <c r="Q16" s="282">
        <f t="shared" si="6"/>
        <v>0</v>
      </c>
      <c r="R16" s="2"/>
      <c r="S16" s="282">
        <f t="shared" si="6"/>
        <v>0</v>
      </c>
      <c r="T16" s="282">
        <f t="shared" si="6"/>
        <v>0</v>
      </c>
      <c r="U16" s="282">
        <f t="shared" si="6"/>
        <v>0</v>
      </c>
    </row>
    <row r="17" spans="1:21" ht="16.25" customHeight="1" x14ac:dyDescent="0.2">
      <c r="A17" s="292" t="s">
        <v>71</v>
      </c>
      <c r="B17" s="296"/>
      <c r="C17" s="281">
        <f t="shared" si="6"/>
        <v>0</v>
      </c>
      <c r="D17" s="282">
        <f t="shared" si="6"/>
        <v>0</v>
      </c>
      <c r="E17" s="275"/>
      <c r="F17" s="281">
        <f t="shared" si="6"/>
        <v>0</v>
      </c>
      <c r="G17" s="282">
        <f t="shared" si="6"/>
        <v>0</v>
      </c>
      <c r="I17" s="283">
        <f t="shared" si="6"/>
        <v>0</v>
      </c>
      <c r="J17" s="282">
        <f t="shared" si="6"/>
        <v>0</v>
      </c>
      <c r="K17" s="282">
        <f t="shared" si="6"/>
        <v>0</v>
      </c>
      <c r="L17" s="282">
        <f t="shared" si="6"/>
        <v>0</v>
      </c>
      <c r="N17" s="283">
        <f t="shared" si="6"/>
        <v>0</v>
      </c>
      <c r="O17" s="282">
        <f t="shared" si="6"/>
        <v>0</v>
      </c>
      <c r="P17" s="282">
        <f t="shared" si="6"/>
        <v>0</v>
      </c>
      <c r="Q17" s="282">
        <f t="shared" si="6"/>
        <v>0</v>
      </c>
      <c r="R17" s="2"/>
      <c r="S17" s="282">
        <f t="shared" si="6"/>
        <v>0</v>
      </c>
      <c r="T17" s="282">
        <f t="shared" si="6"/>
        <v>0</v>
      </c>
      <c r="U17" s="282">
        <f t="shared" si="6"/>
        <v>0</v>
      </c>
    </row>
    <row r="18" spans="1:21" ht="16.25" customHeight="1" x14ac:dyDescent="0.2">
      <c r="A18" s="292" t="s">
        <v>56</v>
      </c>
      <c r="B18" s="296"/>
      <c r="C18" s="281">
        <f t="shared" si="6"/>
        <v>0</v>
      </c>
      <c r="D18" s="282">
        <f t="shared" si="6"/>
        <v>0</v>
      </c>
      <c r="E18" s="275"/>
      <c r="F18" s="281">
        <f t="shared" si="6"/>
        <v>0</v>
      </c>
      <c r="G18" s="282">
        <f t="shared" si="6"/>
        <v>0</v>
      </c>
      <c r="I18" s="283">
        <f t="shared" si="6"/>
        <v>0</v>
      </c>
      <c r="J18" s="282">
        <f t="shared" si="6"/>
        <v>0</v>
      </c>
      <c r="K18" s="282">
        <f t="shared" si="6"/>
        <v>0</v>
      </c>
      <c r="L18" s="282">
        <f t="shared" si="6"/>
        <v>0</v>
      </c>
      <c r="N18" s="283">
        <f t="shared" si="6"/>
        <v>0</v>
      </c>
      <c r="O18" s="282">
        <f t="shared" si="6"/>
        <v>0</v>
      </c>
      <c r="P18" s="282">
        <f t="shared" si="6"/>
        <v>0</v>
      </c>
      <c r="Q18" s="282">
        <f t="shared" si="6"/>
        <v>0</v>
      </c>
      <c r="R18" s="2"/>
      <c r="S18" s="282">
        <f t="shared" si="6"/>
        <v>0</v>
      </c>
      <c r="T18" s="282">
        <f t="shared" si="6"/>
        <v>0</v>
      </c>
      <c r="U18" s="282">
        <f t="shared" si="6"/>
        <v>0</v>
      </c>
    </row>
    <row r="19" spans="1:21" ht="16.25" customHeight="1" x14ac:dyDescent="0.2">
      <c r="A19" s="292" t="s">
        <v>57</v>
      </c>
      <c r="B19" s="296"/>
      <c r="C19" s="281">
        <f t="shared" si="6"/>
        <v>0</v>
      </c>
      <c r="D19" s="282">
        <f t="shared" si="6"/>
        <v>0</v>
      </c>
      <c r="E19" s="275"/>
      <c r="F19" s="281">
        <f t="shared" si="6"/>
        <v>0</v>
      </c>
      <c r="G19" s="282">
        <f t="shared" si="6"/>
        <v>0</v>
      </c>
      <c r="I19" s="283">
        <f t="shared" si="6"/>
        <v>0</v>
      </c>
      <c r="J19" s="282">
        <f t="shared" si="6"/>
        <v>0</v>
      </c>
      <c r="K19" s="282">
        <f t="shared" si="6"/>
        <v>0</v>
      </c>
      <c r="L19" s="282">
        <f t="shared" si="6"/>
        <v>0</v>
      </c>
      <c r="N19" s="283">
        <f t="shared" si="6"/>
        <v>0</v>
      </c>
      <c r="O19" s="282">
        <f t="shared" si="6"/>
        <v>0</v>
      </c>
      <c r="P19" s="282">
        <f t="shared" si="6"/>
        <v>0</v>
      </c>
      <c r="Q19" s="282">
        <f t="shared" si="6"/>
        <v>0</v>
      </c>
      <c r="R19" s="2"/>
      <c r="S19" s="282">
        <f t="shared" si="6"/>
        <v>0</v>
      </c>
      <c r="T19" s="282">
        <f t="shared" si="6"/>
        <v>0</v>
      </c>
      <c r="U19" s="282">
        <f t="shared" si="6"/>
        <v>0</v>
      </c>
    </row>
    <row r="20" spans="1:21" ht="16.25" customHeight="1" x14ac:dyDescent="0.2">
      <c r="A20" s="292" t="s">
        <v>58</v>
      </c>
      <c r="B20" s="296"/>
      <c r="C20" s="281">
        <f t="shared" si="6"/>
        <v>0</v>
      </c>
      <c r="D20" s="282">
        <f t="shared" si="6"/>
        <v>0</v>
      </c>
      <c r="E20" s="275"/>
      <c r="F20" s="281">
        <f t="shared" si="6"/>
        <v>0</v>
      </c>
      <c r="G20" s="282">
        <f t="shared" si="6"/>
        <v>0</v>
      </c>
      <c r="I20" s="283">
        <f t="shared" si="6"/>
        <v>0</v>
      </c>
      <c r="J20" s="282">
        <f t="shared" si="6"/>
        <v>0</v>
      </c>
      <c r="K20" s="282">
        <f t="shared" si="6"/>
        <v>0</v>
      </c>
      <c r="L20" s="282">
        <f t="shared" si="6"/>
        <v>0</v>
      </c>
      <c r="N20" s="283">
        <f t="shared" si="6"/>
        <v>0</v>
      </c>
      <c r="O20" s="282">
        <f t="shared" si="6"/>
        <v>0</v>
      </c>
      <c r="P20" s="282">
        <f t="shared" si="6"/>
        <v>0</v>
      </c>
      <c r="Q20" s="282">
        <f t="shared" si="6"/>
        <v>0</v>
      </c>
      <c r="R20" s="2"/>
      <c r="S20" s="282">
        <f t="shared" si="6"/>
        <v>0</v>
      </c>
      <c r="T20" s="282">
        <f t="shared" si="6"/>
        <v>0</v>
      </c>
      <c r="U20" s="282">
        <f t="shared" si="6"/>
        <v>0</v>
      </c>
    </row>
    <row r="21" spans="1:21" ht="16.25" customHeight="1" x14ac:dyDescent="0.2">
      <c r="C21" s="285">
        <f>SUM(C14:C20)</f>
        <v>0</v>
      </c>
      <c r="D21" s="286">
        <f t="shared" ref="D21:U21" si="7">SUM(D14:D20)</f>
        <v>0</v>
      </c>
      <c r="E21" s="293"/>
      <c r="F21" s="285">
        <f t="shared" si="7"/>
        <v>0</v>
      </c>
      <c r="G21" s="286">
        <f t="shared" si="7"/>
        <v>0</v>
      </c>
      <c r="H21" s="79"/>
      <c r="I21" s="287">
        <f t="shared" si="7"/>
        <v>0</v>
      </c>
      <c r="J21" s="288">
        <f t="shared" si="7"/>
        <v>0</v>
      </c>
      <c r="K21" s="289">
        <f t="shared" ref="K21:L21" si="8">SUM(K14:K20)</f>
        <v>0</v>
      </c>
      <c r="L21" s="289">
        <f t="shared" si="8"/>
        <v>0</v>
      </c>
      <c r="N21" s="287">
        <f t="shared" ref="N21:Q21" si="9">SUM(N14:N20)</f>
        <v>0</v>
      </c>
      <c r="O21" s="288">
        <f t="shared" si="9"/>
        <v>0</v>
      </c>
      <c r="P21" s="289">
        <f t="shared" si="9"/>
        <v>0</v>
      </c>
      <c r="Q21" s="289">
        <f t="shared" si="9"/>
        <v>0</v>
      </c>
      <c r="R21" s="79"/>
      <c r="S21" s="289">
        <f t="shared" si="7"/>
        <v>0</v>
      </c>
      <c r="T21" s="289">
        <f t="shared" si="7"/>
        <v>0</v>
      </c>
      <c r="U21" s="289">
        <f t="shared" si="7"/>
        <v>0</v>
      </c>
    </row>
    <row r="22" spans="1:21" x14ac:dyDescent="0.2">
      <c r="F22" s="294"/>
    </row>
  </sheetData>
  <mergeCells count="7">
    <mergeCell ref="C1:D1"/>
    <mergeCell ref="F1:G1"/>
    <mergeCell ref="I1:J1"/>
    <mergeCell ref="S2:U2"/>
    <mergeCell ref="N1:O1"/>
    <mergeCell ref="K2:L2"/>
    <mergeCell ref="P2:Q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8"/>
  <sheetViews>
    <sheetView showGridLines="0" topLeftCell="A12" zoomScale="110" zoomScaleNormal="110" workbookViewId="0">
      <selection activeCell="G14" sqref="G14"/>
    </sheetView>
  </sheetViews>
  <sheetFormatPr baseColWidth="10" defaultColWidth="11.5" defaultRowHeight="15" x14ac:dyDescent="0.2"/>
  <cols>
    <col min="1" max="1" width="2.1640625" style="114" customWidth="1"/>
    <col min="2" max="2" width="11.6640625" style="114" customWidth="1"/>
    <col min="3" max="3" width="10.1640625" style="114" customWidth="1"/>
    <col min="4" max="4" width="11.6640625" style="114" customWidth="1"/>
    <col min="5" max="5" width="21.5" style="114" customWidth="1"/>
    <col min="6" max="6" width="17.1640625" style="114" customWidth="1"/>
    <col min="7" max="9" width="15.6640625" style="114" customWidth="1"/>
    <col min="10" max="10" width="26.5" style="114" customWidth="1"/>
    <col min="11" max="11" width="2.5" style="114" customWidth="1"/>
    <col min="12" max="12" width="61.5" style="114" customWidth="1"/>
    <col min="13" max="13" width="2.83203125" style="114" customWidth="1"/>
    <col min="15" max="17" width="11.5" style="114"/>
    <col min="18" max="18" width="2.5" style="114" customWidth="1"/>
    <col min="19" max="16384" width="11.5" style="114"/>
  </cols>
  <sheetData>
    <row r="1" spans="1:14" s="212" customFormat="1" ht="24" customHeight="1" x14ac:dyDescent="0.2">
      <c r="A1" s="208"/>
      <c r="B1" s="369" t="s">
        <v>13</v>
      </c>
      <c r="C1" s="369"/>
      <c r="D1" s="369"/>
      <c r="E1" s="369"/>
      <c r="F1" s="369"/>
      <c r="G1" s="369"/>
      <c r="H1" s="369"/>
      <c r="I1" s="369"/>
      <c r="J1" s="369"/>
      <c r="K1" s="209"/>
      <c r="L1" s="210" t="s">
        <v>14</v>
      </c>
      <c r="M1" s="211"/>
      <c r="N1"/>
    </row>
    <row r="2" spans="1:14" ht="17.5" customHeight="1" x14ac:dyDescent="0.2">
      <c r="A2" s="213"/>
      <c r="B2" s="214" t="s">
        <v>15</v>
      </c>
      <c r="C2" s="215"/>
      <c r="K2" s="216"/>
      <c r="L2" s="362" t="s">
        <v>16</v>
      </c>
      <c r="M2" s="217"/>
    </row>
    <row r="3" spans="1:14" s="100" customFormat="1" ht="27" customHeight="1" x14ac:dyDescent="0.2">
      <c r="A3" s="218"/>
      <c r="B3" s="377" t="s">
        <v>17</v>
      </c>
      <c r="C3" s="378"/>
      <c r="D3" s="378"/>
      <c r="E3" s="378"/>
      <c r="F3" s="379"/>
      <c r="G3" s="364" t="s">
        <v>18</v>
      </c>
      <c r="H3" s="365"/>
      <c r="I3" s="365"/>
      <c r="J3" s="366"/>
      <c r="K3" s="115"/>
      <c r="L3" s="362"/>
      <c r="M3" s="219"/>
      <c r="N3"/>
    </row>
    <row r="4" spans="1:14" ht="22.5" customHeight="1" x14ac:dyDescent="0.2">
      <c r="A4" s="213"/>
      <c r="B4" s="371" t="s">
        <v>19</v>
      </c>
      <c r="C4" s="372"/>
      <c r="D4" s="372"/>
      <c r="E4" s="372"/>
      <c r="F4" s="373"/>
      <c r="G4" s="220" t="s">
        <v>20</v>
      </c>
      <c r="H4" s="220" t="s">
        <v>21</v>
      </c>
      <c r="I4" s="220" t="s">
        <v>22</v>
      </c>
      <c r="J4" s="302" t="s">
        <v>23</v>
      </c>
      <c r="K4" s="216"/>
      <c r="L4" s="362"/>
      <c r="M4" s="217"/>
    </row>
    <row r="5" spans="1:14" ht="23.25" customHeight="1" x14ac:dyDescent="0.2">
      <c r="A5" s="213"/>
      <c r="B5" s="374"/>
      <c r="C5" s="375"/>
      <c r="D5" s="375"/>
      <c r="E5" s="375"/>
      <c r="F5" s="376"/>
      <c r="G5" s="221">
        <v>1000</v>
      </c>
      <c r="H5" s="221">
        <v>1100</v>
      </c>
      <c r="I5" s="221">
        <v>1</v>
      </c>
      <c r="J5" s="303"/>
      <c r="K5" s="216"/>
      <c r="L5" s="362"/>
      <c r="M5" s="217"/>
    </row>
    <row r="6" spans="1:14" s="100" customFormat="1" ht="10.5" customHeight="1" x14ac:dyDescent="0.2">
      <c r="A6" s="218"/>
      <c r="K6" s="115"/>
      <c r="L6" s="362"/>
      <c r="M6" s="219"/>
      <c r="N6"/>
    </row>
    <row r="7" spans="1:14" ht="26" customHeight="1" x14ac:dyDescent="0.2">
      <c r="A7" s="213"/>
      <c r="B7" s="363" t="s">
        <v>24</v>
      </c>
      <c r="C7" s="363"/>
      <c r="D7" s="363"/>
      <c r="E7" s="363"/>
      <c r="F7" s="359" t="s">
        <v>25</v>
      </c>
      <c r="G7" s="222" t="s">
        <v>26</v>
      </c>
      <c r="H7" s="359" t="s">
        <v>27</v>
      </c>
      <c r="I7" s="359" t="s">
        <v>28</v>
      </c>
      <c r="J7" s="367" t="s">
        <v>29</v>
      </c>
      <c r="K7" s="216"/>
      <c r="L7" s="362"/>
      <c r="M7" s="217"/>
    </row>
    <row r="8" spans="1:14" ht="19.5" customHeight="1" x14ac:dyDescent="0.2">
      <c r="A8" s="213"/>
      <c r="B8" s="363"/>
      <c r="C8" s="363"/>
      <c r="D8" s="363"/>
      <c r="E8" s="363"/>
      <c r="F8" s="359"/>
      <c r="G8" s="302" t="s">
        <v>22</v>
      </c>
      <c r="H8" s="359"/>
      <c r="I8" s="359"/>
      <c r="J8" s="368"/>
      <c r="K8" s="216"/>
      <c r="L8" s="362"/>
      <c r="M8" s="217"/>
    </row>
    <row r="9" spans="1:14" ht="31.25" customHeight="1" x14ac:dyDescent="0.2">
      <c r="A9" s="213"/>
      <c r="B9" s="370" t="s">
        <v>30</v>
      </c>
      <c r="C9" s="370"/>
      <c r="D9" s="363" t="s">
        <v>31</v>
      </c>
      <c r="E9" s="363"/>
      <c r="F9" s="300">
        <v>54985</v>
      </c>
      <c r="G9" s="301">
        <v>281208490</v>
      </c>
      <c r="H9" s="223">
        <f>IF($G$8&gt;0,G9*HLOOKUP($G$8,$G$4:$J$5,2,0),0)</f>
        <v>281208490</v>
      </c>
      <c r="I9" s="298">
        <f>+H9</f>
        <v>281208490</v>
      </c>
      <c r="J9" s="304" t="s">
        <v>153</v>
      </c>
      <c r="K9" s="216"/>
      <c r="L9" s="362"/>
      <c r="M9" s="217"/>
    </row>
    <row r="10" spans="1:14" ht="30" customHeight="1" x14ac:dyDescent="0.2">
      <c r="A10" s="213"/>
      <c r="B10" s="370"/>
      <c r="C10" s="370"/>
      <c r="D10" s="363" t="s">
        <v>32</v>
      </c>
      <c r="E10" s="363"/>
      <c r="F10" s="300">
        <v>54985</v>
      </c>
      <c r="G10" s="301">
        <v>12713288</v>
      </c>
      <c r="H10" s="223">
        <f>IF($G$8&gt;0,G10*HLOOKUP($G$8,$G$4:$J$5,2,0),0)</f>
        <v>12713288</v>
      </c>
      <c r="I10" s="298">
        <f>+H10</f>
        <v>12713288</v>
      </c>
      <c r="J10" s="304" t="s">
        <v>153</v>
      </c>
      <c r="K10" s="216"/>
      <c r="L10" s="362"/>
      <c r="M10" s="217"/>
    </row>
    <row r="11" spans="1:14" x14ac:dyDescent="0.2">
      <c r="A11" s="213"/>
      <c r="K11" s="216"/>
      <c r="L11" s="362"/>
      <c r="M11" s="217"/>
    </row>
    <row r="12" spans="1:14" ht="26" customHeight="1" x14ac:dyDescent="0.2">
      <c r="A12" s="213"/>
      <c r="B12" s="363" t="s">
        <v>33</v>
      </c>
      <c r="C12" s="363"/>
      <c r="D12" s="363"/>
      <c r="E12" s="363"/>
      <c r="F12" s="359" t="s">
        <v>25</v>
      </c>
      <c r="G12" s="222" t="s">
        <v>26</v>
      </c>
      <c r="H12" s="359" t="s">
        <v>27</v>
      </c>
      <c r="I12" s="359" t="s">
        <v>28</v>
      </c>
      <c r="J12" s="367" t="s">
        <v>29</v>
      </c>
      <c r="K12" s="216"/>
      <c r="L12" s="362"/>
      <c r="M12" s="217"/>
    </row>
    <row r="13" spans="1:14" ht="23.25" customHeight="1" x14ac:dyDescent="0.2">
      <c r="A13" s="213"/>
      <c r="B13" s="363"/>
      <c r="C13" s="363"/>
      <c r="D13" s="363"/>
      <c r="E13" s="363"/>
      <c r="F13" s="359"/>
      <c r="G13" s="302" t="s">
        <v>21</v>
      </c>
      <c r="H13" s="359"/>
      <c r="I13" s="359"/>
      <c r="J13" s="368"/>
      <c r="K13" s="216"/>
      <c r="L13" s="362"/>
      <c r="M13" s="217"/>
    </row>
    <row r="14" spans="1:14" ht="30" customHeight="1" x14ac:dyDescent="0.2">
      <c r="A14" s="213"/>
      <c r="B14" s="370" t="s">
        <v>30</v>
      </c>
      <c r="C14" s="370"/>
      <c r="D14" s="363" t="s">
        <v>34</v>
      </c>
      <c r="E14" s="363"/>
      <c r="F14" s="300"/>
      <c r="G14" s="301"/>
      <c r="H14" s="223">
        <f>IF($G$13&gt;0,G14*HLOOKUP($G$13,$G$4:$J$5,2,0),0)</f>
        <v>0</v>
      </c>
      <c r="I14" s="223">
        <f>+H14</f>
        <v>0</v>
      </c>
      <c r="J14" s="304"/>
      <c r="K14" s="216"/>
      <c r="L14" s="362"/>
      <c r="M14" s="217"/>
    </row>
    <row r="15" spans="1:14" ht="30" customHeight="1" x14ac:dyDescent="0.2">
      <c r="A15" s="213"/>
      <c r="B15" s="370"/>
      <c r="C15" s="370"/>
      <c r="D15" s="363" t="s">
        <v>35</v>
      </c>
      <c r="E15" s="363"/>
      <c r="F15" s="300"/>
      <c r="G15" s="301"/>
      <c r="H15" s="223">
        <f t="shared" ref="H15:H23" si="0">IF($G$13&gt;0,G15*HLOOKUP($G$13,$G$4:$J$5,2,0),0)</f>
        <v>0</v>
      </c>
      <c r="I15" s="223">
        <f>+I14+H15</f>
        <v>0</v>
      </c>
      <c r="J15" s="304"/>
      <c r="K15" s="216"/>
      <c r="L15" s="362"/>
      <c r="M15" s="217"/>
    </row>
    <row r="16" spans="1:14" ht="30" customHeight="1" x14ac:dyDescent="0.2">
      <c r="A16" s="213"/>
      <c r="B16" s="370"/>
      <c r="C16" s="370"/>
      <c r="D16" s="363" t="s">
        <v>36</v>
      </c>
      <c r="E16" s="363"/>
      <c r="F16" s="300"/>
      <c r="G16" s="301"/>
      <c r="H16" s="223">
        <f t="shared" si="0"/>
        <v>0</v>
      </c>
      <c r="I16" s="223">
        <f t="shared" ref="I16:I23" si="1">+I15+H16</f>
        <v>0</v>
      </c>
      <c r="J16" s="304"/>
      <c r="K16" s="216"/>
      <c r="L16" s="362"/>
      <c r="M16" s="217"/>
    </row>
    <row r="17" spans="1:15" ht="30" customHeight="1" x14ac:dyDescent="0.2">
      <c r="A17" s="213"/>
      <c r="B17" s="370"/>
      <c r="C17" s="370"/>
      <c r="D17" s="363" t="s">
        <v>37</v>
      </c>
      <c r="E17" s="363"/>
      <c r="F17" s="300"/>
      <c r="G17" s="301"/>
      <c r="H17" s="223">
        <f t="shared" si="0"/>
        <v>0</v>
      </c>
      <c r="I17" s="223">
        <f t="shared" si="1"/>
        <v>0</v>
      </c>
      <c r="J17" s="304"/>
      <c r="K17" s="216"/>
      <c r="L17" s="362"/>
      <c r="M17" s="217"/>
    </row>
    <row r="18" spans="1:15" ht="30" customHeight="1" x14ac:dyDescent="0.2">
      <c r="A18" s="213"/>
      <c r="B18" s="370"/>
      <c r="C18" s="370"/>
      <c r="D18" s="363" t="s">
        <v>38</v>
      </c>
      <c r="E18" s="363"/>
      <c r="F18" s="300"/>
      <c r="G18" s="301"/>
      <c r="H18" s="223">
        <f t="shared" si="0"/>
        <v>0</v>
      </c>
      <c r="I18" s="223">
        <f>+I17+H18</f>
        <v>0</v>
      </c>
      <c r="J18" s="304"/>
      <c r="K18" s="216"/>
      <c r="L18" s="362"/>
      <c r="M18" s="217"/>
    </row>
    <row r="19" spans="1:15" ht="30" customHeight="1" x14ac:dyDescent="0.2">
      <c r="A19" s="213"/>
      <c r="B19" s="370"/>
      <c r="C19" s="370"/>
      <c r="D19" s="363" t="s">
        <v>39</v>
      </c>
      <c r="E19" s="363"/>
      <c r="F19" s="300"/>
      <c r="G19" s="301"/>
      <c r="H19" s="223">
        <f t="shared" si="0"/>
        <v>0</v>
      </c>
      <c r="I19" s="223">
        <f t="shared" si="1"/>
        <v>0</v>
      </c>
      <c r="J19" s="304"/>
      <c r="K19" s="216"/>
      <c r="L19" s="362"/>
      <c r="M19" s="217"/>
    </row>
    <row r="20" spans="1:15" ht="30" customHeight="1" x14ac:dyDescent="0.2">
      <c r="A20" s="213"/>
      <c r="B20" s="370"/>
      <c r="C20" s="370"/>
      <c r="D20" s="363" t="s">
        <v>40</v>
      </c>
      <c r="E20" s="363"/>
      <c r="F20" s="300"/>
      <c r="G20" s="301"/>
      <c r="H20" s="223">
        <f t="shared" si="0"/>
        <v>0</v>
      </c>
      <c r="I20" s="223">
        <f t="shared" si="1"/>
        <v>0</v>
      </c>
      <c r="J20" s="304"/>
      <c r="K20" s="216"/>
      <c r="L20" s="362"/>
      <c r="M20" s="217"/>
    </row>
    <row r="21" spans="1:15" ht="30" customHeight="1" x14ac:dyDescent="0.2">
      <c r="A21" s="213"/>
      <c r="B21" s="370"/>
      <c r="C21" s="370"/>
      <c r="D21" s="363" t="s">
        <v>41</v>
      </c>
      <c r="E21" s="363"/>
      <c r="F21" s="300"/>
      <c r="G21" s="301"/>
      <c r="H21" s="223">
        <f t="shared" si="0"/>
        <v>0</v>
      </c>
      <c r="I21" s="223">
        <f t="shared" si="1"/>
        <v>0</v>
      </c>
      <c r="J21" s="304"/>
      <c r="K21" s="216"/>
      <c r="L21" s="362"/>
      <c r="M21" s="217"/>
    </row>
    <row r="22" spans="1:15" ht="30" customHeight="1" x14ac:dyDescent="0.2">
      <c r="A22" s="213"/>
      <c r="B22" s="370"/>
      <c r="C22" s="370"/>
      <c r="D22" s="363" t="s">
        <v>42</v>
      </c>
      <c r="E22" s="363"/>
      <c r="F22" s="300"/>
      <c r="G22" s="301"/>
      <c r="H22" s="223">
        <f t="shared" si="0"/>
        <v>0</v>
      </c>
      <c r="I22" s="223">
        <f t="shared" si="1"/>
        <v>0</v>
      </c>
      <c r="J22" s="304"/>
      <c r="K22" s="216"/>
      <c r="L22" s="362"/>
      <c r="M22" s="217"/>
    </row>
    <row r="23" spans="1:15" ht="30" customHeight="1" x14ac:dyDescent="0.2">
      <c r="A23" s="213"/>
      <c r="B23" s="370"/>
      <c r="C23" s="370"/>
      <c r="D23" s="363" t="s">
        <v>43</v>
      </c>
      <c r="E23" s="363"/>
      <c r="F23" s="300"/>
      <c r="G23" s="301"/>
      <c r="H23" s="223">
        <f t="shared" si="0"/>
        <v>0</v>
      </c>
      <c r="I23" s="223">
        <f t="shared" si="1"/>
        <v>0</v>
      </c>
      <c r="J23" s="304"/>
      <c r="K23" s="216"/>
      <c r="L23" s="362"/>
      <c r="M23" s="217"/>
    </row>
    <row r="24" spans="1:15" ht="30" customHeight="1" x14ac:dyDescent="0.2">
      <c r="A24" s="213"/>
      <c r="B24" s="370"/>
      <c r="C24" s="370"/>
      <c r="D24" s="363" t="s">
        <v>32</v>
      </c>
      <c r="E24" s="363"/>
      <c r="F24" s="300"/>
      <c r="G24" s="301"/>
      <c r="H24" s="223">
        <f>IF($G$13&gt;0,G24*HLOOKUP($G$13,$G$4:$J$5,2,0),0)</f>
        <v>0</v>
      </c>
      <c r="I24" s="223">
        <f>+H24</f>
        <v>0</v>
      </c>
      <c r="J24" s="304"/>
      <c r="K24" s="216"/>
      <c r="L24" s="362"/>
      <c r="M24" s="217"/>
    </row>
    <row r="25" spans="1:15" ht="12.75" customHeight="1" x14ac:dyDescent="0.2">
      <c r="A25" s="213"/>
      <c r="B25" s="353"/>
      <c r="C25" s="353"/>
      <c r="D25" s="353"/>
      <c r="E25" s="353"/>
      <c r="F25" s="353"/>
      <c r="G25" s="353"/>
      <c r="H25" s="353"/>
      <c r="I25" s="353"/>
      <c r="J25" s="353"/>
      <c r="K25" s="216"/>
      <c r="L25" s="354"/>
      <c r="M25" s="217"/>
    </row>
    <row r="26" spans="1:15" ht="27.75" customHeight="1" x14ac:dyDescent="0.2">
      <c r="A26" s="348"/>
      <c r="B26" s="358" t="s">
        <v>44</v>
      </c>
      <c r="C26" s="358"/>
      <c r="D26" s="358"/>
      <c r="E26" s="358"/>
      <c r="F26" s="358"/>
      <c r="G26" s="358"/>
      <c r="H26" s="358"/>
      <c r="I26" s="358"/>
      <c r="J26" s="358"/>
      <c r="K26" s="358"/>
      <c r="L26" s="358"/>
      <c r="M26" s="358"/>
      <c r="O26" s="349"/>
    </row>
    <row r="27" spans="1:15" ht="221.5" customHeight="1" x14ac:dyDescent="0.2">
      <c r="A27" s="213"/>
      <c r="B27" s="360" t="s">
        <v>152</v>
      </c>
      <c r="C27" s="361"/>
      <c r="D27" s="361"/>
      <c r="E27" s="361"/>
      <c r="F27" s="361"/>
      <c r="G27" s="361"/>
      <c r="H27" s="361"/>
      <c r="I27" s="361"/>
      <c r="J27" s="361"/>
      <c r="K27" s="361"/>
      <c r="L27" s="361"/>
      <c r="M27" s="355"/>
    </row>
    <row r="28" spans="1:15" x14ac:dyDescent="0.2">
      <c r="A28" s="350"/>
      <c r="B28" s="351"/>
      <c r="C28" s="351"/>
      <c r="D28" s="351"/>
      <c r="E28" s="351"/>
      <c r="F28" s="351"/>
      <c r="G28" s="352"/>
      <c r="H28" s="352"/>
      <c r="I28" s="352"/>
      <c r="J28" s="352"/>
      <c r="K28" s="352"/>
      <c r="L28" s="352"/>
      <c r="M28" s="352"/>
    </row>
    <row r="30" spans="1:15" x14ac:dyDescent="0.2">
      <c r="B30" s="380"/>
      <c r="C30" s="380"/>
      <c r="D30" s="380"/>
      <c r="E30" s="380"/>
      <c r="F30" s="380"/>
      <c r="G30" s="380"/>
      <c r="H30" s="380"/>
      <c r="I30" s="380"/>
      <c r="J30" s="380"/>
      <c r="K30" s="380"/>
      <c r="L30" s="380"/>
    </row>
    <row r="31" spans="1:15" x14ac:dyDescent="0.2">
      <c r="B31" s="380"/>
      <c r="C31" s="380"/>
      <c r="D31" s="380"/>
      <c r="E31" s="380"/>
      <c r="F31" s="380"/>
      <c r="G31" s="380"/>
      <c r="H31" s="380"/>
      <c r="I31" s="380"/>
      <c r="J31" s="380"/>
      <c r="K31" s="380"/>
      <c r="L31" s="380"/>
    </row>
    <row r="32" spans="1:15" x14ac:dyDescent="0.2">
      <c r="B32" s="380"/>
      <c r="C32" s="380"/>
      <c r="D32" s="380"/>
      <c r="E32" s="380"/>
      <c r="F32" s="380"/>
      <c r="G32" s="380"/>
      <c r="H32" s="380"/>
      <c r="I32" s="380"/>
      <c r="J32" s="380"/>
      <c r="K32" s="380"/>
      <c r="L32" s="380"/>
    </row>
    <row r="33" spans="2:13" x14ac:dyDescent="0.2">
      <c r="B33" s="380"/>
      <c r="C33" s="380"/>
      <c r="D33" s="380"/>
      <c r="E33" s="380"/>
      <c r="F33" s="380"/>
      <c r="G33" s="380"/>
      <c r="H33" s="380"/>
      <c r="I33" s="380"/>
      <c r="J33" s="380"/>
      <c r="K33" s="380"/>
      <c r="L33" s="380"/>
    </row>
    <row r="34" spans="2:13" x14ac:dyDescent="0.2">
      <c r="B34" s="380"/>
      <c r="C34" s="380"/>
      <c r="D34" s="380"/>
      <c r="E34" s="380"/>
      <c r="F34" s="380"/>
      <c r="G34" s="380"/>
      <c r="H34" s="380"/>
      <c r="I34" s="380"/>
      <c r="J34" s="380"/>
      <c r="K34" s="380"/>
      <c r="L34" s="380"/>
    </row>
    <row r="35" spans="2:13" x14ac:dyDescent="0.2">
      <c r="B35" s="380"/>
      <c r="C35" s="380"/>
      <c r="D35" s="380"/>
      <c r="E35" s="380"/>
      <c r="F35" s="380"/>
      <c r="G35" s="380"/>
      <c r="H35" s="380"/>
      <c r="I35" s="380"/>
      <c r="J35" s="380"/>
      <c r="K35" s="380"/>
      <c r="L35" s="380"/>
    </row>
    <row r="36" spans="2:13" x14ac:dyDescent="0.2">
      <c r="B36" s="380"/>
      <c r="C36" s="380"/>
      <c r="D36" s="380"/>
      <c r="E36" s="380"/>
      <c r="F36" s="380"/>
      <c r="G36" s="380"/>
      <c r="H36" s="380"/>
      <c r="I36" s="380"/>
      <c r="J36" s="380"/>
      <c r="K36" s="380"/>
      <c r="L36" s="380"/>
    </row>
    <row r="37" spans="2:13" x14ac:dyDescent="0.2">
      <c r="B37" s="380"/>
      <c r="C37" s="380"/>
      <c r="D37" s="380"/>
      <c r="E37" s="380"/>
      <c r="F37" s="380"/>
      <c r="G37" s="380"/>
      <c r="H37" s="380"/>
      <c r="I37" s="380"/>
      <c r="J37" s="380"/>
      <c r="K37" s="380"/>
      <c r="L37" s="380"/>
    </row>
    <row r="38" spans="2:13" x14ac:dyDescent="0.2">
      <c r="B38" s="380"/>
      <c r="C38" s="380"/>
      <c r="D38" s="380"/>
      <c r="E38" s="380"/>
      <c r="F38" s="380"/>
      <c r="G38" s="380"/>
      <c r="H38" s="380"/>
      <c r="I38" s="380"/>
      <c r="J38" s="380"/>
      <c r="K38" s="380"/>
      <c r="L38" s="380"/>
    </row>
    <row r="39" spans="2:13" x14ac:dyDescent="0.2">
      <c r="B39" s="380"/>
      <c r="C39" s="380"/>
      <c r="D39" s="380"/>
      <c r="E39" s="380"/>
      <c r="F39" s="380"/>
      <c r="G39" s="380"/>
      <c r="H39" s="380"/>
      <c r="I39" s="380"/>
      <c r="J39" s="380"/>
      <c r="K39" s="380"/>
      <c r="L39" s="380"/>
    </row>
    <row r="40" spans="2:13" x14ac:dyDescent="0.2">
      <c r="B40" s="380"/>
      <c r="C40" s="380"/>
      <c r="D40" s="380"/>
      <c r="E40" s="380"/>
      <c r="F40" s="380"/>
      <c r="G40" s="380"/>
      <c r="H40" s="380"/>
      <c r="I40" s="380"/>
      <c r="J40" s="380"/>
      <c r="K40" s="380"/>
      <c r="L40" s="380"/>
    </row>
    <row r="41" spans="2:13" x14ac:dyDescent="0.2">
      <c r="B41" s="380"/>
      <c r="C41" s="380"/>
      <c r="D41" s="380"/>
      <c r="E41" s="380"/>
      <c r="F41" s="380"/>
      <c r="G41" s="380"/>
      <c r="H41" s="380"/>
      <c r="I41" s="380"/>
      <c r="J41" s="380"/>
      <c r="K41" s="380"/>
      <c r="L41" s="380"/>
    </row>
    <row r="45" spans="2:13" x14ac:dyDescent="0.2">
      <c r="M45" s="100"/>
    </row>
    <row r="48" spans="2:13" x14ac:dyDescent="0.2">
      <c r="M48" s="100"/>
    </row>
  </sheetData>
  <sheetProtection algorithmName="SHA-512" hashValue="Zjytrngzus/BIQ+Op25Rf0SIta8yD6bNHMBRSevlFZNciGvXSmACrTyp8VAZLt3MaZ6ht+OJL2GjDpMxsBTf5g==" saltValue="+JHwRJvlSBPSSPYXt9HTnA==" spinCount="100000" sheet="1" formatCells="0" formatColumns="0" formatRows="0" insertRows="0"/>
  <mergeCells count="44">
    <mergeCell ref="B31:L31"/>
    <mergeCell ref="B32:L32"/>
    <mergeCell ref="B33:L33"/>
    <mergeCell ref="B34:L34"/>
    <mergeCell ref="B30:L30"/>
    <mergeCell ref="B41:L41"/>
    <mergeCell ref="B35:L35"/>
    <mergeCell ref="B36:L36"/>
    <mergeCell ref="B37:L37"/>
    <mergeCell ref="B38:L38"/>
    <mergeCell ref="B39:L39"/>
    <mergeCell ref="B40:L40"/>
    <mergeCell ref="B1:J1"/>
    <mergeCell ref="H7:H8"/>
    <mergeCell ref="F7:F8"/>
    <mergeCell ref="D14:E14"/>
    <mergeCell ref="B14:C24"/>
    <mergeCell ref="B9:C10"/>
    <mergeCell ref="D9:E9"/>
    <mergeCell ref="B7:E8"/>
    <mergeCell ref="D10:E10"/>
    <mergeCell ref="H12:H13"/>
    <mergeCell ref="F12:F13"/>
    <mergeCell ref="B12:E13"/>
    <mergeCell ref="J7:J8"/>
    <mergeCell ref="B4:F5"/>
    <mergeCell ref="D24:E24"/>
    <mergeCell ref="B3:F3"/>
    <mergeCell ref="B26:M26"/>
    <mergeCell ref="I12:I13"/>
    <mergeCell ref="B27:L27"/>
    <mergeCell ref="L2:L24"/>
    <mergeCell ref="I7:I8"/>
    <mergeCell ref="D15:E15"/>
    <mergeCell ref="D16:E16"/>
    <mergeCell ref="D17:E17"/>
    <mergeCell ref="D18:E18"/>
    <mergeCell ref="D19:E19"/>
    <mergeCell ref="D20:E20"/>
    <mergeCell ref="D21:E21"/>
    <mergeCell ref="G3:J3"/>
    <mergeCell ref="D22:E22"/>
    <mergeCell ref="D23:E23"/>
    <mergeCell ref="J12:J13"/>
  </mergeCells>
  <phoneticPr fontId="61" type="noConversion"/>
  <dataValidations count="2">
    <dataValidation type="custom" allowBlank="1" showInputMessage="1" showErrorMessage="1" sqref="H9:H10 H14:H24" xr:uid="{00000000-0002-0000-0100-000000000000}">
      <formula1>H9</formula1>
    </dataValidation>
    <dataValidation type="list" allowBlank="1" showInputMessage="1" showErrorMessage="1" sqref="G8 G13" xr:uid="{00000000-0002-0000-0100-000001000000}">
      <formula1>$G$4:$J$4</formula1>
    </dataValidation>
  </dataValidations>
  <printOptions horizontalCentered="1"/>
  <pageMargins left="0" right="0" top="0.78740157480314965" bottom="0.78740157480314965" header="0" footer="0.39370078740157483"/>
  <pageSetup paperSize="5" scale="70" orientation="landscape" r:id="rId1"/>
  <headerFooter alignWithMargins="0">
    <oddFooter>&amp;L&amp;A - &amp;F
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B1:P32"/>
  <sheetViews>
    <sheetView showGridLines="0" topLeftCell="B12" zoomScale="85" zoomScaleNormal="85" zoomScaleSheetLayoutView="80" workbookViewId="0">
      <selection activeCell="E19" sqref="E19"/>
    </sheetView>
  </sheetViews>
  <sheetFormatPr baseColWidth="10" defaultColWidth="11.5" defaultRowHeight="16" x14ac:dyDescent="0.2"/>
  <cols>
    <col min="1" max="1" width="0" style="82" hidden="1" customWidth="1"/>
    <col min="2" max="2" width="3.33203125" style="82" customWidth="1"/>
    <col min="3" max="3" width="53.6640625" style="82" customWidth="1"/>
    <col min="4" max="4" width="50.6640625" style="82" customWidth="1"/>
    <col min="5" max="5" width="21.1640625" style="84" customWidth="1"/>
    <col min="6" max="7" width="3.33203125" style="82" customWidth="1"/>
    <col min="8" max="8" width="36.83203125" style="82" customWidth="1"/>
    <col min="9" max="9" width="3.33203125" style="82" customWidth="1"/>
    <col min="10" max="10" width="12.33203125" style="82" customWidth="1"/>
    <col min="11" max="11" width="48.1640625" style="82" customWidth="1"/>
    <col min="12" max="12" width="17.6640625" style="82" customWidth="1"/>
    <col min="13" max="16" width="13.83203125" style="100" hidden="1" customWidth="1"/>
    <col min="17" max="17" width="0" style="82" hidden="1" customWidth="1"/>
    <col min="18" max="16384" width="11.5" style="82"/>
  </cols>
  <sheetData>
    <row r="1" spans="2:16" hidden="1" x14ac:dyDescent="0.2"/>
    <row r="2" spans="2:16" hidden="1" x14ac:dyDescent="0.2"/>
    <row r="3" spans="2:16" hidden="1" x14ac:dyDescent="0.2"/>
    <row r="4" spans="2:16" hidden="1" x14ac:dyDescent="0.2"/>
    <row r="5" spans="2:16" hidden="1" x14ac:dyDescent="0.2"/>
    <row r="6" spans="2:16" ht="10.25" customHeight="1" x14ac:dyDescent="0.2">
      <c r="B6" s="170"/>
      <c r="C6" s="116"/>
      <c r="D6" s="116"/>
      <c r="E6" s="113"/>
      <c r="F6" s="171"/>
      <c r="G6" s="116"/>
      <c r="H6" s="116"/>
      <c r="I6" s="171"/>
      <c r="M6" s="172">
        <f>E9+E10</f>
        <v>293921778</v>
      </c>
      <c r="N6" s="172">
        <f>(E9+E10)*10%</f>
        <v>29392177.800000001</v>
      </c>
      <c r="O6" s="172">
        <f>IF($M$6&gt;$M$7,$M$6-N6-400000000,0)</f>
        <v>0</v>
      </c>
      <c r="P6" s="172">
        <f>O6+N6</f>
        <v>29392177.800000001</v>
      </c>
    </row>
    <row r="7" spans="2:16" ht="15" customHeight="1" x14ac:dyDescent="0.2">
      <c r="B7" s="173"/>
      <c r="C7" s="207" t="s">
        <v>45</v>
      </c>
      <c r="D7" s="174"/>
      <c r="E7" s="109" t="s">
        <v>46</v>
      </c>
      <c r="F7" s="171"/>
      <c r="G7" s="116"/>
      <c r="H7" s="175" t="s">
        <v>47</v>
      </c>
      <c r="I7" s="171"/>
      <c r="M7" s="176">
        <f>+(M8*N7)/N8</f>
        <v>444444444.44444442</v>
      </c>
      <c r="N7" s="177">
        <v>1</v>
      </c>
      <c r="P7" s="178">
        <f>+E9+E10-E16-E17</f>
        <v>265129600</v>
      </c>
    </row>
    <row r="8" spans="2:16" ht="9.5" customHeight="1" thickBot="1" x14ac:dyDescent="0.25">
      <c r="B8" s="179"/>
      <c r="C8" s="116"/>
      <c r="D8" s="116"/>
      <c r="E8" s="113"/>
      <c r="F8" s="171"/>
      <c r="G8" s="116"/>
      <c r="H8" s="116"/>
      <c r="I8" s="171"/>
      <c r="M8" s="180">
        <v>400000000</v>
      </c>
      <c r="N8" s="181">
        <v>0.9</v>
      </c>
      <c r="P8" s="178">
        <f>IF($P$7&gt;$M$8,$P$7-$M$8,0)</f>
        <v>0</v>
      </c>
    </row>
    <row r="9" spans="2:16" ht="42" customHeight="1" x14ac:dyDescent="0.2">
      <c r="B9" s="179"/>
      <c r="C9" s="384" t="s">
        <v>48</v>
      </c>
      <c r="D9" s="319" t="s">
        <v>49</v>
      </c>
      <c r="E9" s="320">
        <v>281208490</v>
      </c>
      <c r="F9" s="171"/>
      <c r="G9" s="116"/>
      <c r="H9" s="382" t="str">
        <f>IF($M$6&gt;=50000000,"Total de A. Equipamiento cumple con el Monto Mínimo.-","Monto Total de A. Equipamiento debe ser igual o mayor a $50.000.000.-")</f>
        <v>Total de A. Equipamiento cumple con el Monto Mínimo.-</v>
      </c>
      <c r="I9" s="182"/>
      <c r="K9" s="385" t="s">
        <v>50</v>
      </c>
      <c r="M9"/>
      <c r="N9"/>
    </row>
    <row r="10" spans="2:16" ht="42" customHeight="1" thickBot="1" x14ac:dyDescent="0.25">
      <c r="B10" s="179"/>
      <c r="C10" s="384"/>
      <c r="D10" s="321" t="s">
        <v>51</v>
      </c>
      <c r="E10" s="320">
        <v>12713288</v>
      </c>
      <c r="F10" s="171"/>
      <c r="G10" s="116"/>
      <c r="H10" s="383"/>
      <c r="I10" s="182"/>
      <c r="K10" s="386"/>
    </row>
    <row r="11" spans="2:16" ht="10.25" customHeight="1" x14ac:dyDescent="0.2">
      <c r="B11" s="170"/>
      <c r="C11" s="116"/>
      <c r="D11" s="116"/>
      <c r="E11" s="183"/>
      <c r="F11" s="171"/>
      <c r="G11" s="116"/>
      <c r="H11" s="116"/>
      <c r="I11" s="171"/>
    </row>
    <row r="12" spans="2:16" ht="10.25" customHeight="1" thickBot="1" x14ac:dyDescent="0.25">
      <c r="B12" s="184"/>
      <c r="C12" s="185"/>
      <c r="D12" s="185"/>
      <c r="E12" s="186"/>
      <c r="F12" s="187"/>
      <c r="G12" s="185"/>
      <c r="H12" s="185"/>
      <c r="I12" s="187"/>
    </row>
    <row r="13" spans="2:16" ht="10.25" customHeight="1" thickTop="1" x14ac:dyDescent="0.2">
      <c r="B13" s="188"/>
      <c r="C13" s="116"/>
      <c r="D13" s="116"/>
      <c r="E13" s="189"/>
      <c r="F13" s="171"/>
      <c r="G13" s="116"/>
      <c r="H13" s="116"/>
      <c r="I13" s="190"/>
    </row>
    <row r="14" spans="2:16" ht="17" customHeight="1" x14ac:dyDescent="0.2">
      <c r="B14" s="173"/>
      <c r="C14" s="207" t="s">
        <v>52</v>
      </c>
      <c r="D14" s="174"/>
      <c r="E14" s="109" t="s">
        <v>46</v>
      </c>
      <c r="F14" s="171"/>
      <c r="G14" s="116"/>
      <c r="H14" s="175"/>
      <c r="I14" s="171"/>
      <c r="M14"/>
      <c r="N14"/>
      <c r="O14"/>
      <c r="P14"/>
    </row>
    <row r="15" spans="2:16" ht="10.25" customHeight="1" x14ac:dyDescent="0.2">
      <c r="B15" s="179"/>
      <c r="C15" s="116"/>
      <c r="D15" s="116"/>
      <c r="E15" s="113"/>
      <c r="F15" s="171"/>
      <c r="G15" s="116"/>
      <c r="H15" s="116"/>
      <c r="I15" s="171"/>
      <c r="M15"/>
      <c r="N15"/>
      <c r="O15"/>
      <c r="P15"/>
    </row>
    <row r="16" spans="2:16" ht="42" customHeight="1" x14ac:dyDescent="0.2">
      <c r="B16" s="191"/>
      <c r="C16" s="387" t="s">
        <v>53</v>
      </c>
      <c r="D16" s="319" t="s">
        <v>49</v>
      </c>
      <c r="E16" s="323">
        <v>28792178</v>
      </c>
      <c r="F16" s="182"/>
      <c r="G16" s="192"/>
      <c r="H16" s="389" t="str">
        <f>IF($M$6=0," ",IF((SUM($E$16:$E$21)&gt;=$P$6)*AND($E$22=0)*AND($E$23=0)*AND($M$6&gt;=50000000),"Aporte Pecuniario Institucional cumple con el 10% de A. Equipamiento.-",IF(($M$6&gt;$M$8)*OR($P$8&gt;0),"¡¡¡ Importante !!!                                      Considere que FONDEQUIP aporta un máximo de $400.000.000 por proyecto, por lo tanto, la diferencia que se produzca en A. EQUIPAMIENTO debe ser cubierta con Aporte Pecuniario Institucional.",IF($M$6&gt;=50000000,"Debe Ingresar, al menos, el 10% del costo de A. Equipamiento en los sub-ítems correspondientes.-"," "))))</f>
        <v>Aporte Pecuniario Institucional cumple con el 10% de A. Equipamiento.-</v>
      </c>
      <c r="I16" s="182"/>
      <c r="K16" s="358" t="s">
        <v>54</v>
      </c>
      <c r="M16"/>
      <c r="N16"/>
      <c r="O16"/>
      <c r="P16"/>
    </row>
    <row r="17" spans="2:16" ht="42" customHeight="1" x14ac:dyDescent="0.2">
      <c r="B17" s="191"/>
      <c r="C17" s="388"/>
      <c r="D17" s="321" t="s">
        <v>51</v>
      </c>
      <c r="E17" s="323">
        <v>0</v>
      </c>
      <c r="F17" s="182"/>
      <c r="G17" s="192"/>
      <c r="H17" s="389"/>
      <c r="I17" s="182"/>
      <c r="K17" s="358"/>
      <c r="M17"/>
      <c r="N17"/>
      <c r="O17"/>
      <c r="P17"/>
    </row>
    <row r="18" spans="2:16" ht="42" customHeight="1" x14ac:dyDescent="0.2">
      <c r="B18" s="191"/>
      <c r="C18" s="388"/>
      <c r="D18" s="322" t="s">
        <v>55</v>
      </c>
      <c r="E18" s="323">
        <v>0</v>
      </c>
      <c r="F18" s="182"/>
      <c r="G18" s="192"/>
      <c r="H18" s="389"/>
      <c r="I18" s="182"/>
      <c r="K18" s="358"/>
      <c r="M18"/>
      <c r="N18"/>
      <c r="O18"/>
      <c r="P18"/>
    </row>
    <row r="19" spans="2:16" ht="42" customHeight="1" x14ac:dyDescent="0.2">
      <c r="B19" s="191"/>
      <c r="C19" s="388"/>
      <c r="D19" s="324" t="s">
        <v>56</v>
      </c>
      <c r="E19" s="323">
        <v>100000</v>
      </c>
      <c r="F19" s="182"/>
      <c r="G19" s="192"/>
      <c r="H19" s="389"/>
      <c r="I19" s="182"/>
      <c r="K19" s="358"/>
      <c r="M19"/>
      <c r="N19"/>
      <c r="O19"/>
      <c r="P19"/>
    </row>
    <row r="20" spans="2:16" ht="42" customHeight="1" x14ac:dyDescent="0.2">
      <c r="B20" s="191"/>
      <c r="C20" s="388"/>
      <c r="D20" s="319" t="s">
        <v>57</v>
      </c>
      <c r="E20" s="323">
        <v>0</v>
      </c>
      <c r="F20" s="182"/>
      <c r="G20" s="192"/>
      <c r="H20" s="389"/>
      <c r="I20" s="182"/>
      <c r="K20" s="358"/>
      <c r="M20"/>
      <c r="N20"/>
      <c r="O20"/>
      <c r="P20"/>
    </row>
    <row r="21" spans="2:16" ht="42" customHeight="1" x14ac:dyDescent="0.2">
      <c r="B21" s="191"/>
      <c r="C21" s="388"/>
      <c r="D21" s="324" t="s">
        <v>58</v>
      </c>
      <c r="E21" s="323">
        <v>500000</v>
      </c>
      <c r="F21" s="182"/>
      <c r="G21" s="192"/>
      <c r="H21" s="389"/>
      <c r="I21" s="182"/>
      <c r="K21" s="358"/>
      <c r="M21"/>
      <c r="N21"/>
      <c r="O21"/>
      <c r="P21"/>
    </row>
    <row r="22" spans="2:16" ht="15" customHeight="1" x14ac:dyDescent="0.2">
      <c r="B22" s="191"/>
      <c r="C22" s="116"/>
      <c r="D22" s="193" t="str">
        <f>IF($E$22&gt;0,"Saldo para el 10% mínimo de Aporte Pecuniario","  ")</f>
        <v xml:space="preserve">  </v>
      </c>
      <c r="E22" s="194">
        <f>IF($E$23&gt;0,0,IF(SUM($E$16:$E$21)&lt;$N$6,($N$6-SUM($E$16:$E$21)),0))</f>
        <v>0</v>
      </c>
      <c r="F22" s="171"/>
      <c r="G22" s="116"/>
      <c r="H22" s="116"/>
      <c r="I22" s="182"/>
      <c r="M22"/>
      <c r="N22"/>
      <c r="O22"/>
      <c r="P22"/>
    </row>
    <row r="23" spans="2:16" ht="18.5" customHeight="1" thickBot="1" x14ac:dyDescent="0.25">
      <c r="B23" s="195"/>
      <c r="C23" s="185"/>
      <c r="D23" s="196" t="str">
        <f>IF($E$23&gt;0,"Saldo para A. EQUIPAMIENTO"," ")</f>
        <v xml:space="preserve"> </v>
      </c>
      <c r="E23" s="197">
        <f>IF($P$8&gt;0,$P$8,0)</f>
        <v>0</v>
      </c>
      <c r="F23" s="187"/>
      <c r="G23" s="185"/>
      <c r="H23" s="185"/>
      <c r="I23" s="198"/>
      <c r="M23" s="82"/>
      <c r="N23" s="82"/>
      <c r="O23" s="82"/>
      <c r="P23" s="82"/>
    </row>
    <row r="24" spans="2:16" ht="10.25" customHeight="1" thickTop="1" thickBot="1" x14ac:dyDescent="0.25">
      <c r="B24" s="188"/>
      <c r="C24" s="116"/>
      <c r="D24" s="116"/>
      <c r="E24" s="189"/>
      <c r="F24" s="171"/>
      <c r="G24" s="116"/>
      <c r="H24" s="116"/>
      <c r="I24" s="182"/>
      <c r="M24"/>
      <c r="N24"/>
      <c r="O24"/>
      <c r="P24"/>
    </row>
    <row r="25" spans="2:16" ht="65.25" customHeight="1" x14ac:dyDescent="0.2">
      <c r="B25" s="188"/>
      <c r="C25" s="342" t="str">
        <f>IF(E25&gt;0,"APORTE SOLICITADO A FONDEQUIP PARA EQUIPAMIENTO","")</f>
        <v>APORTE SOLICITADO A FONDEQUIP PARA EQUIPAMIENTO</v>
      </c>
      <c r="D25" s="325" t="str">
        <f>IF(E25&gt;0,"Equipo Principal o Plataforma y/o Accesorio(s)","")</f>
        <v>Equipo Principal o Plataforma y/o Accesorio(s)</v>
      </c>
      <c r="E25" s="326">
        <f>IF(AND(M6&gt;=50000000,H16="Aporte Pecuniario Institucional cumple con el 10% de A. Equipamiento.-"),E9+E10-E16-E17,0)</f>
        <v>265129600</v>
      </c>
      <c r="F25" s="171"/>
      <c r="G25" s="116"/>
      <c r="H25" s="199" t="str">
        <f>IF(OR(E25&lt;=0,(E9+E10)&lt;50000000)," ",IF($E$25&gt;400000000,"El aporte solicitado supera el monto máximo a financiar FONDEQUIP, por lo tanto, debe complementar el Aporte Pecuniario en A. EQUIPAMIENTO.-",IF($H$16="Aporte Pecuniario Institucional cumple con el 10% de A. Equipamiento.-","Aporte Solicitado a FONDEQUIP OK")))</f>
        <v>Aporte Solicitado a FONDEQUIP OK</v>
      </c>
      <c r="I25" s="171"/>
      <c r="K25" s="200" t="s">
        <v>59</v>
      </c>
    </row>
    <row r="26" spans="2:16" ht="10.25" customHeight="1" x14ac:dyDescent="0.2">
      <c r="B26" s="188"/>
      <c r="C26" s="116"/>
      <c r="D26" s="116"/>
      <c r="E26" s="113"/>
      <c r="F26" s="171"/>
      <c r="G26" s="116"/>
      <c r="H26" s="116"/>
      <c r="I26" s="171"/>
    </row>
    <row r="27" spans="2:16" ht="17" hidden="1" thickBot="1" x14ac:dyDescent="0.25">
      <c r="B27" s="201"/>
      <c r="C27" s="202"/>
      <c r="D27" s="202"/>
      <c r="E27" s="203"/>
      <c r="F27" s="204"/>
      <c r="G27" s="202"/>
      <c r="H27" s="202"/>
      <c r="I27" s="204"/>
      <c r="J27" s="205"/>
    </row>
    <row r="29" spans="2:16" hidden="1" x14ac:dyDescent="0.2"/>
    <row r="30" spans="2:16" ht="23.25" customHeight="1" x14ac:dyDescent="0.2">
      <c r="C30" s="206"/>
      <c r="K30" s="381" t="str">
        <f>IF(H25="Aporte Solicitado a FONDEQUIP OK","Pase a la siguiente Hoja →    II.- Traslados, Inst. Operación","")</f>
        <v>Pase a la siguiente Hoja →    II.- Traslados, Inst. Operación</v>
      </c>
    </row>
    <row r="31" spans="2:16" ht="15" customHeight="1" x14ac:dyDescent="0.2">
      <c r="H31"/>
      <c r="K31" s="381"/>
    </row>
    <row r="32" spans="2:16" ht="15" customHeight="1" x14ac:dyDescent="0.2">
      <c r="K32" s="381"/>
    </row>
  </sheetData>
  <sheetProtection algorithmName="SHA-512" hashValue="gM+wRCNG76rVph/AvwLlGDjbG3QDj6GL8oLaUBiC8HxigOeocS1JHjisnuOG3DAGsIel342MWZlXSmru0i68jA==" saltValue="eraezE2NTN2n9Ea1d2W90w==" spinCount="100000" sheet="1" selectLockedCells="1"/>
  <mergeCells count="7">
    <mergeCell ref="K30:K32"/>
    <mergeCell ref="H9:H10"/>
    <mergeCell ref="C9:C10"/>
    <mergeCell ref="K9:K10"/>
    <mergeCell ref="C16:C21"/>
    <mergeCell ref="H16:H21"/>
    <mergeCell ref="K16:K21"/>
  </mergeCells>
  <conditionalFormatting sqref="C25">
    <cfRule type="containsText" dxfId="94" priority="35" operator="containsText" text="APORTE SOLICITADO A FONDEQUIP">
      <formula>NOT(ISERROR(SEARCH("APORTE SOLICITADO A FONDEQUIP",C25)))</formula>
    </cfRule>
  </conditionalFormatting>
  <conditionalFormatting sqref="D22">
    <cfRule type="containsText" dxfId="93" priority="20" stopIfTrue="1" operator="containsText" text="Saldo">
      <formula>NOT(ISERROR(SEARCH("Saldo",D22)))</formula>
    </cfRule>
  </conditionalFormatting>
  <conditionalFormatting sqref="D23">
    <cfRule type="containsText" dxfId="92" priority="1" operator="containsText" text="Saldo">
      <formula>NOT(ISERROR(SEARCH("Saldo",D23)))</formula>
    </cfRule>
  </conditionalFormatting>
  <conditionalFormatting sqref="D25">
    <cfRule type="containsText" dxfId="91" priority="36" operator="containsText" text="&quot;&quot;">
      <formula>NOT(ISERROR(SEARCH("""""",D25)))</formula>
    </cfRule>
    <cfRule type="containsText" dxfId="90" priority="37" operator="containsText" text="Equipo Principal">
      <formula>NOT(ISERROR(SEARCH("Equipo Principal",D25)))</formula>
    </cfRule>
  </conditionalFormatting>
  <conditionalFormatting sqref="E22">
    <cfRule type="cellIs" dxfId="89" priority="7" stopIfTrue="1" operator="lessThan">
      <formula>0</formula>
    </cfRule>
    <cfRule type="cellIs" dxfId="88" priority="8" stopIfTrue="1" operator="equal">
      <formula>0</formula>
    </cfRule>
    <cfRule type="cellIs" dxfId="87" priority="9" stopIfTrue="1" operator="notEqual">
      <formula>0</formula>
    </cfRule>
  </conditionalFormatting>
  <conditionalFormatting sqref="E23">
    <cfRule type="cellIs" dxfId="86" priority="2" operator="greaterThan">
      <formula>0</formula>
    </cfRule>
  </conditionalFormatting>
  <conditionalFormatting sqref="E25">
    <cfRule type="cellIs" dxfId="85" priority="19" stopIfTrue="1" operator="equal">
      <formula>0</formula>
    </cfRule>
  </conditionalFormatting>
  <conditionalFormatting sqref="H9:H10">
    <cfRule type="containsText" dxfId="84" priority="17" stopIfTrue="1" operator="containsText" text="cumple">
      <formula>NOT(ISERROR(SEARCH("cumple",H9)))</formula>
    </cfRule>
    <cfRule type="containsText" dxfId="83" priority="18" stopIfTrue="1" operator="containsText" text="Equipamiento">
      <formula>NOT(ISERROR(SEARCH("Equipamiento",H9)))</formula>
    </cfRule>
  </conditionalFormatting>
  <conditionalFormatting sqref="H16:H18">
    <cfRule type="containsText" dxfId="82" priority="14" stopIfTrue="1" operator="containsText" text="Considere que FONDEQUIP">
      <formula>NOT(ISERROR(SEARCH("Considere que FONDEQUIP",H16)))</formula>
    </cfRule>
    <cfRule type="containsText" dxfId="81" priority="15" stopIfTrue="1" operator="containsText" text="Debe Ingresar, al menos, el 10%">
      <formula>NOT(ISERROR(SEARCH("Debe Ingresar, al menos, el 10%",H16)))</formula>
    </cfRule>
    <cfRule type="containsText" dxfId="80" priority="16" stopIfTrue="1" operator="containsText" text="cumple">
      <formula>NOT(ISERROR(SEARCH("cumple",H16)))</formula>
    </cfRule>
  </conditionalFormatting>
  <conditionalFormatting sqref="H25">
    <cfRule type="containsText" dxfId="79" priority="11" stopIfTrue="1" operator="containsText" text="Debe">
      <formula>NOT(ISERROR(SEARCH("Debe",H25)))</formula>
    </cfRule>
    <cfRule type="containsText" dxfId="78" priority="13" stopIfTrue="1" operator="containsText" text="OK">
      <formula>NOT(ISERROR(SEARCH("OK",H25)))</formula>
    </cfRule>
  </conditionalFormatting>
  <conditionalFormatting sqref="I22:I24">
    <cfRule type="expression" dxfId="77" priority="89" stopIfTrue="1">
      <formula>(#REF!+#REF!=0)</formula>
    </cfRule>
    <cfRule type="containsText" dxfId="76" priority="90" stopIfTrue="1" operator="containsText" text="Ingrese Su aporte">
      <formula>NOT(ISERROR(SEARCH("Ingrese Su aporte",I22)))</formula>
    </cfRule>
  </conditionalFormatting>
  <conditionalFormatting sqref="K30:K32">
    <cfRule type="cellIs" dxfId="75" priority="23" stopIfTrue="1" operator="equal">
      <formula>"Aporte Solicitado a CONICYT OK"</formula>
    </cfRule>
  </conditionalFormatting>
  <dataValidations count="1">
    <dataValidation errorStyle="warning" operator="greaterThanOrEqual" allowBlank="1" showInputMessage="1" errorTitle="IMPORTANTE" error="Debe Ingresar, al menos, el 10% del costo del Item Equipamiento.-_x000a_" sqref="E16:E21" xr:uid="{00000000-0002-0000-0200-000000000000}"/>
  </dataValidations>
  <printOptions horizontalCentered="1"/>
  <pageMargins left="0" right="0" top="0.78740157480314965" bottom="0.78740157480314965" header="0" footer="0.59055118110236227"/>
  <pageSetup scale="75" orientation="landscape" r:id="rId1"/>
  <headerFooter alignWithMargins="0">
    <oddFooter>&amp;L&amp;A - &amp;F
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T32"/>
  <sheetViews>
    <sheetView showGridLines="0" tabSelected="1" topLeftCell="C6" zoomScale="90" zoomScaleNormal="90" zoomScaleSheetLayoutView="87" workbookViewId="0">
      <selection activeCell="F26" sqref="F26"/>
    </sheetView>
  </sheetViews>
  <sheetFormatPr baseColWidth="10" defaultColWidth="11.5" defaultRowHeight="15" x14ac:dyDescent="0.2"/>
  <cols>
    <col min="1" max="1" width="1.6640625" style="82" hidden="1" customWidth="1"/>
    <col min="2" max="2" width="31.6640625" style="82" hidden="1" customWidth="1"/>
    <col min="3" max="3" width="3.33203125" style="82" customWidth="1"/>
    <col min="4" max="4" width="59.6640625" style="82" customWidth="1"/>
    <col min="5" max="7" width="26.5" style="82" customWidth="1"/>
    <col min="8" max="8" width="3.1640625" style="82" customWidth="1"/>
    <col min="9" max="9" width="29.6640625" style="82" customWidth="1"/>
    <col min="10" max="10" width="3.6640625" style="82" customWidth="1"/>
    <col min="11" max="11" width="14.83203125" style="82" customWidth="1"/>
    <col min="12" max="13" width="11.5" style="82"/>
    <col min="14" max="14" width="11.6640625" style="82" customWidth="1"/>
    <col min="15" max="15" width="11.5" style="82"/>
    <col min="16" max="21" width="0" style="82" hidden="1" customWidth="1"/>
    <col min="22" max="16384" width="11.5" style="82"/>
  </cols>
  <sheetData>
    <row r="1" spans="1:15" ht="39" hidden="1" customHeight="1" x14ac:dyDescent="0.2"/>
    <row r="2" spans="1:15" s="112" customFormat="1" ht="44.5" customHeight="1" thickBot="1" x14ac:dyDescent="0.25">
      <c r="A2" s="133"/>
      <c r="B2" s="133"/>
      <c r="C2" s="134"/>
      <c r="D2" s="398" t="s">
        <v>60</v>
      </c>
      <c r="E2" s="398"/>
      <c r="F2" s="398"/>
      <c r="G2" s="398"/>
      <c r="H2" s="398"/>
      <c r="I2" s="399"/>
    </row>
    <row r="3" spans="1:15" ht="6.75" customHeight="1" thickTop="1" thickBot="1" x14ac:dyDescent="0.25">
      <c r="A3" s="125"/>
      <c r="B3" s="125"/>
      <c r="C3" s="126"/>
      <c r="D3" s="127"/>
      <c r="E3" s="127"/>
      <c r="F3" s="127"/>
      <c r="G3" s="127"/>
      <c r="H3" s="127"/>
      <c r="I3" s="128"/>
      <c r="J3" s="129"/>
    </row>
    <row r="4" spans="1:15" ht="9.75" hidden="1" customHeight="1" thickBot="1" x14ac:dyDescent="0.25">
      <c r="A4" s="125"/>
      <c r="B4" s="125"/>
      <c r="C4" s="130"/>
      <c r="D4" s="132"/>
      <c r="I4" s="131"/>
    </row>
    <row r="5" spans="1:15" s="135" customFormat="1" ht="19.25" customHeight="1" thickTop="1" thickBot="1" x14ac:dyDescent="0.25">
      <c r="A5" s="143"/>
      <c r="B5" s="143"/>
      <c r="C5" s="144"/>
      <c r="D5" s="145"/>
      <c r="E5" s="393" t="s">
        <v>61</v>
      </c>
      <c r="F5" s="405" t="s">
        <v>62</v>
      </c>
      <c r="G5" s="406"/>
      <c r="H5" s="146"/>
      <c r="I5" s="147"/>
      <c r="K5" s="396" t="s">
        <v>63</v>
      </c>
      <c r="L5" s="397"/>
      <c r="M5" s="397"/>
      <c r="N5" s="397"/>
    </row>
    <row r="6" spans="1:15" s="135" customFormat="1" ht="19.25" customHeight="1" thickTop="1" thickBot="1" x14ac:dyDescent="0.25">
      <c r="A6" s="143"/>
      <c r="B6" s="143"/>
      <c r="C6" s="144"/>
      <c r="D6" s="148"/>
      <c r="E6" s="394"/>
      <c r="F6" s="149" t="s">
        <v>64</v>
      </c>
      <c r="G6" s="150" t="s">
        <v>65</v>
      </c>
      <c r="H6" s="151"/>
      <c r="I6" s="147"/>
      <c r="K6" s="395" t="s">
        <v>66</v>
      </c>
      <c r="L6" s="395"/>
      <c r="M6" s="395"/>
      <c r="N6" s="395"/>
      <c r="O6" s="152"/>
    </row>
    <row r="7" spans="1:15" s="135" customFormat="1" ht="32" customHeight="1" thickTop="1" thickBot="1" x14ac:dyDescent="0.25">
      <c r="A7" s="143"/>
      <c r="B7" s="143"/>
      <c r="C7" s="153"/>
      <c r="D7" s="306" t="s">
        <v>67</v>
      </c>
      <c r="E7" s="307">
        <f>+'I.- EQUIPAMIENTO'!E9-'I.- EQUIPAMIENTO'!E16</f>
        <v>252416312</v>
      </c>
      <c r="F7" s="307">
        <f>+'DETALLE APORTES'!E7</f>
        <v>28792178</v>
      </c>
      <c r="G7" s="400" t="s">
        <v>68</v>
      </c>
      <c r="H7" s="151"/>
      <c r="I7" s="147"/>
      <c r="K7" s="395"/>
      <c r="L7" s="395"/>
      <c r="M7" s="395"/>
      <c r="N7" s="395"/>
      <c r="O7" s="152"/>
    </row>
    <row r="8" spans="1:15" s="135" customFormat="1" ht="32" customHeight="1" thickTop="1" thickBot="1" x14ac:dyDescent="0.25">
      <c r="A8" s="143"/>
      <c r="B8" s="143"/>
      <c r="C8" s="153"/>
      <c r="D8" s="308" t="s">
        <v>69</v>
      </c>
      <c r="E8" s="309">
        <f>+'I.- EQUIPAMIENTO'!E10-'I.- EQUIPAMIENTO'!E17</f>
        <v>12713288</v>
      </c>
      <c r="F8" s="309">
        <f>+'DETALLE APORTES'!E8</f>
        <v>0</v>
      </c>
      <c r="G8" s="401"/>
      <c r="H8" s="151"/>
      <c r="I8" s="147"/>
      <c r="K8" s="395"/>
      <c r="L8" s="395"/>
      <c r="M8" s="395"/>
      <c r="N8" s="395"/>
      <c r="O8" s="152"/>
    </row>
    <row r="9" spans="1:15" s="135" customFormat="1" ht="32" customHeight="1" thickTop="1" x14ac:dyDescent="0.2">
      <c r="A9" s="143"/>
      <c r="B9" s="143"/>
      <c r="C9" s="407"/>
      <c r="D9" s="306" t="s">
        <v>55</v>
      </c>
      <c r="E9" s="305">
        <v>83600521</v>
      </c>
      <c r="F9" s="305">
        <v>0</v>
      </c>
      <c r="G9" s="402"/>
      <c r="H9" s="154"/>
      <c r="I9" s="147"/>
      <c r="K9" s="395" t="s">
        <v>70</v>
      </c>
      <c r="L9" s="395"/>
      <c r="M9" s="395"/>
      <c r="N9" s="395"/>
      <c r="O9" s="152"/>
    </row>
    <row r="10" spans="1:15" s="135" customFormat="1" ht="32" customHeight="1" x14ac:dyDescent="0.2">
      <c r="A10" s="143"/>
      <c r="B10" s="143"/>
      <c r="C10" s="407"/>
      <c r="D10" s="308" t="s">
        <v>71</v>
      </c>
      <c r="E10" s="305">
        <v>2000000</v>
      </c>
      <c r="F10" s="357">
        <v>0</v>
      </c>
      <c r="G10" s="305">
        <f>+'DETALLE APORTES'!F10</f>
        <v>0</v>
      </c>
      <c r="H10" s="154"/>
      <c r="I10" s="147"/>
      <c r="K10" s="395"/>
      <c r="L10" s="395"/>
      <c r="M10" s="395"/>
      <c r="N10" s="395"/>
    </row>
    <row r="11" spans="1:15" s="135" customFormat="1" ht="32" customHeight="1" x14ac:dyDescent="0.2">
      <c r="A11" s="143"/>
      <c r="B11" s="143"/>
      <c r="C11" s="407"/>
      <c r="D11" s="306" t="s">
        <v>56</v>
      </c>
      <c r="E11" s="305">
        <v>500000</v>
      </c>
      <c r="F11" s="305">
        <v>100000</v>
      </c>
      <c r="G11" s="305">
        <f>+'DETALLE APORTES'!F11</f>
        <v>0</v>
      </c>
      <c r="H11" s="154"/>
      <c r="I11" s="147"/>
      <c r="K11" s="395" t="s">
        <v>72</v>
      </c>
      <c r="L11" s="395"/>
      <c r="M11" s="395"/>
      <c r="N11" s="395"/>
    </row>
    <row r="12" spans="1:15" s="135" customFormat="1" ht="32" customHeight="1" thickBot="1" x14ac:dyDescent="0.25">
      <c r="A12" s="143"/>
      <c r="B12" s="143"/>
      <c r="C12" s="407"/>
      <c r="D12" s="310" t="s">
        <v>57</v>
      </c>
      <c r="E12" s="305">
        <v>9500000</v>
      </c>
      <c r="F12" s="305">
        <v>0</v>
      </c>
      <c r="G12" s="305">
        <f>+'DETALLE APORTES'!F12</f>
        <v>0</v>
      </c>
      <c r="H12" s="151"/>
      <c r="I12" s="155" t="str">
        <f>IF(E12+F12+G12=0,"Este Sub-Item debe contemplar Financiamiento","")</f>
        <v/>
      </c>
      <c r="K12" s="395"/>
      <c r="L12" s="395"/>
      <c r="M12" s="395"/>
      <c r="N12" s="395"/>
    </row>
    <row r="13" spans="1:15" s="135" customFormat="1" ht="15.75" customHeight="1" thickBot="1" x14ac:dyDescent="0.25">
      <c r="A13" s="143"/>
      <c r="B13" s="143"/>
      <c r="C13" s="144"/>
      <c r="D13" s="151"/>
      <c r="E13" s="156"/>
      <c r="F13" s="157"/>
      <c r="G13" s="157"/>
      <c r="H13" s="151"/>
      <c r="I13" s="147"/>
      <c r="K13" s="395" t="s">
        <v>73</v>
      </c>
      <c r="L13" s="395"/>
      <c r="M13" s="395"/>
      <c r="N13" s="395"/>
    </row>
    <row r="14" spans="1:15" s="135" customFormat="1" ht="32" customHeight="1" x14ac:dyDescent="0.2">
      <c r="A14" s="143"/>
      <c r="B14" s="143"/>
      <c r="C14" s="408"/>
      <c r="D14" s="311" t="s">
        <v>58</v>
      </c>
      <c r="E14" s="403" t="s">
        <v>68</v>
      </c>
      <c r="F14" s="305">
        <f>+'DETALLE APORTES'!E13</f>
        <v>500000</v>
      </c>
      <c r="G14" s="305">
        <v>2610000</v>
      </c>
      <c r="H14" s="151"/>
      <c r="I14" s="147"/>
      <c r="J14" s="158"/>
      <c r="K14" s="395"/>
      <c r="L14" s="395"/>
      <c r="M14" s="395"/>
      <c r="N14" s="395"/>
    </row>
    <row r="15" spans="1:15" s="135" customFormat="1" ht="32" customHeight="1" x14ac:dyDescent="0.2">
      <c r="A15" s="143"/>
      <c r="B15" s="143"/>
      <c r="C15" s="408"/>
      <c r="D15" s="312" t="s">
        <v>74</v>
      </c>
      <c r="E15" s="403"/>
      <c r="F15" s="305">
        <v>18000000</v>
      </c>
      <c r="G15" s="305">
        <v>108209000</v>
      </c>
      <c r="H15" s="151"/>
      <c r="I15" s="147"/>
      <c r="J15" s="158"/>
      <c r="K15" s="395"/>
      <c r="L15" s="395"/>
      <c r="M15" s="395"/>
      <c r="N15" s="395"/>
    </row>
    <row r="16" spans="1:15" s="135" customFormat="1" ht="32" customHeight="1" thickBot="1" x14ac:dyDescent="0.25">
      <c r="A16" s="143"/>
      <c r="B16" s="143"/>
      <c r="C16" s="408"/>
      <c r="D16" s="313" t="s">
        <v>75</v>
      </c>
      <c r="E16" s="404"/>
      <c r="F16" s="305">
        <v>0</v>
      </c>
      <c r="G16" s="305">
        <v>6750000</v>
      </c>
      <c r="H16" s="151"/>
      <c r="I16" s="159"/>
      <c r="K16" s="395"/>
      <c r="L16" s="395"/>
      <c r="M16" s="395"/>
      <c r="N16" s="395"/>
    </row>
    <row r="17" spans="1:20" s="135" customFormat="1" ht="15.75" customHeight="1" thickTop="1" x14ac:dyDescent="0.2">
      <c r="A17" s="143"/>
      <c r="B17" s="143"/>
      <c r="C17" s="144"/>
      <c r="D17" s="151"/>
      <c r="E17" s="160"/>
      <c r="F17" s="161"/>
      <c r="G17" s="160"/>
      <c r="H17" s="151"/>
      <c r="I17" s="147"/>
    </row>
    <row r="18" spans="1:20" s="135" customFormat="1" ht="112.5" customHeight="1" x14ac:dyDescent="0.2">
      <c r="A18" s="143"/>
      <c r="B18" s="143"/>
      <c r="C18" s="144"/>
      <c r="D18" s="162" t="str">
        <f>IF(E23+F23+G23=0,"","VERIFICACION DE APORTES")</f>
        <v>VERIFICACION DE APORTES</v>
      </c>
      <c r="E18" s="163" t="str">
        <f>IF(OR(E23=0,(E7+E8+F7+F8)&lt;50000000)," ",IF(SUM(E9:E12)&gt;((E7+E8)*0.5),"Total B. Traslados e Instalación no puede ser Mayor al 50% de A. Equipamiento.-",IF(SUM(E7:E12)&lt;=400000000,"Aporte Solicitado a FONDEQUIP OK",IF(SUM(E7:E12)&gt;400000000,"Monto solicitado a FONDEQUIP excede el Máximo a financiar por Proyecto",""))))</f>
        <v>Aporte Solicitado a FONDEQUIP OK</v>
      </c>
      <c r="F18" s="163" t="str">
        <f>IF($E$29=0,"",IF(F7+F8+F9+F11+F12+F14&gt;=$E$25*10%,"Aporte Pecuniario OK","Aporte Pecuniario debe ser equivalente a, al menos, el 10% de A. Equipamiento.-"))</f>
        <v>Aporte Pecuniario OK</v>
      </c>
      <c r="G18" s="164" t="str">
        <f>IF($E$29=0," ",IF(SUM(G10+G11+G12+G14+G15+G16+F7+F8+F9+F10+F11+F12+F14+F15+F16)&gt;=$E$25*50%,"Aporte No Pecuniario OK",IF(SUM(G10+G11+G12+G14+G15+G16+F7+F8+F9+F10+F11+F12+F14+F15+F16)&lt;$E$25*50%,"Aporte No Pecuniario debe ser, al menos, el equivalente al porcentaje no financiado con Aporte Pecuniario para cumplir con el mínimo correspondiente al 50% de A. Equipamiento.-")))</f>
        <v>Aporte No Pecuniario OK</v>
      </c>
      <c r="H18" s="165"/>
      <c r="I18" s="159"/>
      <c r="P18" s="135">
        <f>IF(I12="Este Sub Item debe Contemplar Financiamiento",1,0)</f>
        <v>0</v>
      </c>
      <c r="Q18" s="135">
        <f>IF(E18="Aporte Solicitado a CONICYT OK",1,0)</f>
        <v>0</v>
      </c>
      <c r="R18" s="135">
        <f>IF(F18="Aporte Pecuniario Universidad OK",1,0)</f>
        <v>0</v>
      </c>
      <c r="S18" s="135">
        <f>IF(G18="Aporte No Pecuniario OK",1,0)</f>
        <v>1</v>
      </c>
      <c r="T18" s="135">
        <f>S18+R18+Q18+P18</f>
        <v>1</v>
      </c>
    </row>
    <row r="19" spans="1:20" s="135" customFormat="1" ht="8.25" customHeight="1" thickBot="1" x14ac:dyDescent="0.25">
      <c r="A19" s="143"/>
      <c r="B19" s="143"/>
      <c r="C19" s="144"/>
      <c r="D19" s="166"/>
      <c r="E19" s="154"/>
      <c r="F19" s="151"/>
      <c r="G19" s="151"/>
      <c r="H19" s="151"/>
      <c r="I19" s="159"/>
    </row>
    <row r="20" spans="1:20" s="135" customFormat="1" ht="39.75" customHeight="1" x14ac:dyDescent="0.2">
      <c r="A20" s="143"/>
      <c r="B20" s="143"/>
      <c r="C20" s="167"/>
      <c r="D20" s="390" t="s">
        <v>76</v>
      </c>
      <c r="E20" s="391"/>
      <c r="F20" s="391"/>
      <c r="G20" s="392"/>
      <c r="H20" s="168"/>
      <c r="I20" s="169"/>
    </row>
    <row r="21" spans="1:20" s="135" customFormat="1" x14ac:dyDescent="0.2"/>
    <row r="22" spans="1:20" s="135" customFormat="1" ht="12.75" customHeight="1" x14ac:dyDescent="0.2"/>
    <row r="23" spans="1:20" s="135" customFormat="1" ht="23.25" customHeight="1" x14ac:dyDescent="0.2">
      <c r="D23" s="316" t="s">
        <v>77</v>
      </c>
      <c r="E23" s="317">
        <f>SUM(E7:E16)</f>
        <v>360730121</v>
      </c>
      <c r="F23" s="318">
        <f>SUM(F7:F16)</f>
        <v>47392178</v>
      </c>
      <c r="G23" s="315">
        <f>SUM(G7:G16)</f>
        <v>117569000</v>
      </c>
    </row>
    <row r="24" spans="1:20" s="135" customFormat="1" ht="23.25" customHeight="1" x14ac:dyDescent="0.2">
      <c r="E24" s="136"/>
      <c r="F24" s="136"/>
      <c r="G24" s="136"/>
    </row>
    <row r="25" spans="1:20" s="135" customFormat="1" ht="23.25" customHeight="1" x14ac:dyDescent="0.2">
      <c r="D25" s="314" t="s">
        <v>78</v>
      </c>
      <c r="E25" s="315">
        <f>'I.- EQUIPAMIENTO'!E9+'I.- EQUIPAMIENTO'!E10</f>
        <v>293921778</v>
      </c>
      <c r="F25" s="137" t="str">
        <f>IF(AND(E25&gt;0,E25&lt;50000000),"El Monto Mínimo debe ser $50.000.000.-"," ")</f>
        <v xml:space="preserve"> </v>
      </c>
      <c r="G25" s="136"/>
    </row>
    <row r="26" spans="1:20" s="135" customFormat="1" ht="23.25" customHeight="1" x14ac:dyDescent="0.2">
      <c r="D26" s="135" t="s">
        <v>79</v>
      </c>
      <c r="E26" s="136">
        <f>E25*0.5</f>
        <v>146960889</v>
      </c>
      <c r="F26" s="136"/>
      <c r="G26" s="136"/>
    </row>
    <row r="27" spans="1:20" s="135" customFormat="1" ht="26.25" customHeight="1" x14ac:dyDescent="0.2">
      <c r="D27" s="314" t="s">
        <v>80</v>
      </c>
      <c r="E27" s="315">
        <f>SUM(F23:G23)</f>
        <v>164961178</v>
      </c>
      <c r="F27" s="138">
        <f>+E27-E26</f>
        <v>18000289</v>
      </c>
      <c r="G27" s="139"/>
    </row>
    <row r="28" spans="1:20" s="135" customFormat="1" ht="26.25" customHeight="1" x14ac:dyDescent="0.2">
      <c r="E28" s="136"/>
      <c r="F28" s="136"/>
      <c r="G28" s="136"/>
    </row>
    <row r="29" spans="1:20" s="135" customFormat="1" ht="23.25" customHeight="1" x14ac:dyDescent="0.2">
      <c r="D29" s="314" t="s">
        <v>81</v>
      </c>
      <c r="E29" s="315">
        <f>+'I.- EQUIPAMIENTO'!E25</f>
        <v>265129600</v>
      </c>
      <c r="F29" s="140">
        <f>+E29*0.5</f>
        <v>132564800</v>
      </c>
      <c r="G29" s="136"/>
    </row>
    <row r="30" spans="1:20" s="135" customFormat="1" ht="23.25" customHeight="1" x14ac:dyDescent="0.2">
      <c r="D30" s="135" t="s">
        <v>82</v>
      </c>
      <c r="E30" s="141">
        <f>+IF($F$29&gt;$F$30,$F$30,$F$29)</f>
        <v>132564800</v>
      </c>
      <c r="F30" s="140">
        <f>400000000-E29</f>
        <v>134870400</v>
      </c>
      <c r="G30" s="136"/>
    </row>
    <row r="31" spans="1:20" s="135" customFormat="1" ht="23.25" customHeight="1" x14ac:dyDescent="0.2">
      <c r="D31" s="314" t="s">
        <v>83</v>
      </c>
      <c r="E31" s="315">
        <f>SUM($E$9:$E$12)</f>
        <v>95600521</v>
      </c>
      <c r="F31" s="138">
        <f>+E31-E30</f>
        <v>-36964279</v>
      </c>
      <c r="G31" s="136"/>
    </row>
    <row r="32" spans="1:20" s="135" customFormat="1" ht="27" customHeight="1" x14ac:dyDescent="0.2">
      <c r="D32" s="135" t="s">
        <v>84</v>
      </c>
      <c r="E32" s="142">
        <f>+IF(E29&gt;0,E31/E29,0)</f>
        <v>0.36058033882297563</v>
      </c>
    </row>
  </sheetData>
  <sheetProtection algorithmName="SHA-512" hashValue="a6/ECccr4XVNjqM/z8y0kaMuy7sKShIB/UoFg/+KzZK81VHglBMJikfhNc/O0B4s2pE3DSFkDJgO110+M/EsXg==" saltValue="mWaop9wVN6gtnnlQFvGtRg==" spinCount="100000" sheet="1" objects="1" scenarios="1"/>
  <mergeCells count="13">
    <mergeCell ref="D2:I2"/>
    <mergeCell ref="G7:G9"/>
    <mergeCell ref="E14:E16"/>
    <mergeCell ref="F5:G5"/>
    <mergeCell ref="C9:C12"/>
    <mergeCell ref="C14:C16"/>
    <mergeCell ref="D20:G20"/>
    <mergeCell ref="E5:E6"/>
    <mergeCell ref="K6:N8"/>
    <mergeCell ref="K9:N10"/>
    <mergeCell ref="K11:N12"/>
    <mergeCell ref="K13:N16"/>
    <mergeCell ref="K5:N5"/>
  </mergeCells>
  <conditionalFormatting sqref="D18">
    <cfRule type="containsText" dxfId="74" priority="12" stopIfTrue="1" operator="containsText" text="VERIFICACION ">
      <formula>NOT(ISERROR(SEARCH("VERIFICACION ",D18)))</formula>
    </cfRule>
  </conditionalFormatting>
  <conditionalFormatting sqref="E18">
    <cfRule type="containsText" dxfId="73" priority="10" stopIfTrue="1" operator="containsText" text="excede el Máximo">
      <formula>NOT(ISERROR(SEARCH("excede el Máximo",E18)))</formula>
    </cfRule>
    <cfRule type="containsText" dxfId="72" priority="11" stopIfTrue="1" operator="containsText" text="no puede ser Mayor">
      <formula>NOT(ISERROR(SEARCH("no puede ser Mayor",E18)))</formula>
    </cfRule>
  </conditionalFormatting>
  <conditionalFormatting sqref="E25">
    <cfRule type="cellIs" dxfId="71" priority="3" operator="lessThan">
      <formula>50000000</formula>
    </cfRule>
  </conditionalFormatting>
  <conditionalFormatting sqref="E30">
    <cfRule type="cellIs" dxfId="70" priority="13" stopIfTrue="1" operator="lessThan">
      <formula>0</formula>
    </cfRule>
  </conditionalFormatting>
  <conditionalFormatting sqref="E32">
    <cfRule type="cellIs" dxfId="69" priority="22" stopIfTrue="1" operator="greaterThan">
      <formula>0.5</formula>
    </cfRule>
  </conditionalFormatting>
  <conditionalFormatting sqref="E8:F8">
    <cfRule type="cellIs" dxfId="68" priority="1" operator="lessThan">
      <formula>0</formula>
    </cfRule>
  </conditionalFormatting>
  <conditionalFormatting sqref="E18:G18">
    <cfRule type="containsText" dxfId="67" priority="6" stopIfTrue="1" operator="containsText" text="OK">
      <formula>NOT(ISERROR(SEARCH("OK",E18)))</formula>
    </cfRule>
  </conditionalFormatting>
  <conditionalFormatting sqref="F18">
    <cfRule type="containsText" dxfId="66" priority="8" stopIfTrue="1" operator="containsText" text="debe ser ">
      <formula>NOT(ISERROR(SEARCH("debe ser ",F18)))</formula>
    </cfRule>
  </conditionalFormatting>
  <conditionalFormatting sqref="F27">
    <cfRule type="cellIs" dxfId="65" priority="23" stopIfTrue="1" operator="lessThan">
      <formula>0</formula>
    </cfRule>
  </conditionalFormatting>
  <conditionalFormatting sqref="F31">
    <cfRule type="cellIs" dxfId="64" priority="2" stopIfTrue="1" operator="greaterThan">
      <formula>0</formula>
    </cfRule>
  </conditionalFormatting>
  <conditionalFormatting sqref="G18">
    <cfRule type="containsText" dxfId="63" priority="5" stopIfTrue="1" operator="containsText" text="debe ser">
      <formula>NOT(ISERROR(SEARCH("debe ser",G18)))</formula>
    </cfRule>
  </conditionalFormatting>
  <conditionalFormatting sqref="I12">
    <cfRule type="containsText" dxfId="62" priority="4" stopIfTrue="1" operator="containsText" text="Contemplar">
      <formula>NOT(ISERROR(SEARCH("Contemplar",I12)))</formula>
    </cfRule>
  </conditionalFormatting>
  <printOptions horizontalCentered="1"/>
  <pageMargins left="0" right="0" top="0.78740157480314965" bottom="0.78740157480314965" header="0" footer="0.59055118110236227"/>
  <pageSetup scale="75" orientation="landscape" r:id="rId1"/>
  <headerFooter alignWithMargins="0">
    <oddFooter>&amp;L&amp;A - &amp;F
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7"/>
  <sheetViews>
    <sheetView showGridLines="0" zoomScale="80" zoomScaleNormal="80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H23" sqref="H23"/>
    </sheetView>
  </sheetViews>
  <sheetFormatPr baseColWidth="10" defaultColWidth="11.5" defaultRowHeight="15" x14ac:dyDescent="0.2"/>
  <cols>
    <col min="1" max="1" width="6.6640625" style="82" customWidth="1"/>
    <col min="2" max="2" width="5.1640625" style="82" customWidth="1"/>
    <col min="3" max="3" width="16.5" style="82" customWidth="1"/>
    <col min="4" max="4" width="35.5" style="82" customWidth="1"/>
    <col min="5" max="18" width="18.6640625" style="82" customWidth="1"/>
    <col min="19" max="19" width="9.5" style="82" customWidth="1"/>
    <col min="20" max="16384" width="11.5" style="82"/>
  </cols>
  <sheetData>
    <row r="1" spans="1:18" s="112" customFormat="1" ht="28.25" customHeight="1" x14ac:dyDescent="0.2">
      <c r="A1" s="110"/>
      <c r="B1" s="411" t="s">
        <v>85</v>
      </c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111"/>
      <c r="R1" s="111"/>
    </row>
    <row r="2" spans="1:18" hidden="1" x14ac:dyDescent="0.2">
      <c r="A2" s="92"/>
      <c r="B2" s="415"/>
      <c r="C2" s="415"/>
      <c r="D2" s="415"/>
      <c r="E2" s="415"/>
      <c r="F2" s="415"/>
      <c r="G2" s="415"/>
      <c r="H2" s="415"/>
      <c r="I2" s="93"/>
      <c r="J2" s="93"/>
      <c r="K2" s="93"/>
      <c r="L2" s="93"/>
      <c r="M2" s="93"/>
      <c r="N2" s="93"/>
      <c r="O2" s="93"/>
      <c r="P2" s="93"/>
      <c r="Q2" s="93"/>
      <c r="R2" s="93"/>
    </row>
    <row r="3" spans="1:18" ht="9" customHeight="1" thickBot="1" x14ac:dyDescent="0.25">
      <c r="A3" s="92"/>
      <c r="B3" s="416"/>
      <c r="C3" s="417"/>
      <c r="D3" s="417"/>
      <c r="E3" s="417"/>
      <c r="F3" s="417"/>
      <c r="G3" s="417"/>
      <c r="H3" s="417"/>
      <c r="I3" s="106"/>
      <c r="J3" s="106"/>
      <c r="K3" s="106"/>
      <c r="L3" s="106"/>
      <c r="M3" s="106"/>
      <c r="N3" s="106"/>
      <c r="O3" s="106"/>
      <c r="P3" s="106"/>
      <c r="Q3" s="106"/>
      <c r="R3" s="106"/>
    </row>
    <row r="4" spans="1:18" ht="13.5" hidden="1" customHeight="1" thickBot="1" x14ac:dyDescent="0.25">
      <c r="A4" s="92"/>
      <c r="B4" s="92"/>
      <c r="C4" s="92"/>
      <c r="D4" s="92"/>
      <c r="E4" s="92"/>
      <c r="F4" s="92"/>
      <c r="G4" s="92"/>
      <c r="H4" s="94"/>
      <c r="I4" s="92"/>
      <c r="J4" s="94"/>
      <c r="K4" s="92"/>
      <c r="L4" s="94"/>
      <c r="M4" s="92"/>
      <c r="N4" s="94"/>
      <c r="O4" s="92"/>
      <c r="P4" s="94"/>
      <c r="Q4" s="92"/>
      <c r="R4" s="94"/>
    </row>
    <row r="5" spans="1:18" ht="29" customHeight="1" thickBot="1" x14ac:dyDescent="0.25">
      <c r="A5" s="92"/>
      <c r="B5" s="418"/>
      <c r="C5" s="419"/>
      <c r="D5" s="420"/>
      <c r="E5" s="429" t="s">
        <v>86</v>
      </c>
      <c r="F5" s="430"/>
      <c r="G5" s="409" t="s">
        <v>87</v>
      </c>
      <c r="H5" s="410"/>
      <c r="I5" s="409" t="s">
        <v>88</v>
      </c>
      <c r="J5" s="410"/>
      <c r="K5" s="409" t="s">
        <v>89</v>
      </c>
      <c r="L5" s="410"/>
      <c r="M5" s="409" t="s">
        <v>90</v>
      </c>
      <c r="N5" s="410"/>
      <c r="O5" s="409" t="s">
        <v>91</v>
      </c>
      <c r="P5" s="410"/>
      <c r="Q5" s="409" t="s">
        <v>92</v>
      </c>
      <c r="R5" s="410"/>
    </row>
    <row r="6" spans="1:18" ht="25.5" customHeight="1" thickBot="1" x14ac:dyDescent="0.25">
      <c r="A6" s="95" t="s">
        <v>93</v>
      </c>
      <c r="B6" s="421" t="s">
        <v>94</v>
      </c>
      <c r="C6" s="422"/>
      <c r="D6" s="96" t="s">
        <v>95</v>
      </c>
      <c r="E6" s="97" t="s">
        <v>96</v>
      </c>
      <c r="F6" s="98" t="s">
        <v>97</v>
      </c>
      <c r="G6" s="97" t="s">
        <v>96</v>
      </c>
      <c r="H6" s="98" t="s">
        <v>97</v>
      </c>
      <c r="I6" s="97" t="s">
        <v>96</v>
      </c>
      <c r="J6" s="98" t="s">
        <v>97</v>
      </c>
      <c r="K6" s="97" t="s">
        <v>96</v>
      </c>
      <c r="L6" s="98" t="s">
        <v>97</v>
      </c>
      <c r="M6" s="97" t="s">
        <v>96</v>
      </c>
      <c r="N6" s="98" t="s">
        <v>97</v>
      </c>
      <c r="O6" s="97" t="s">
        <v>96</v>
      </c>
      <c r="P6" s="98" t="s">
        <v>97</v>
      </c>
      <c r="Q6" s="97" t="s">
        <v>96</v>
      </c>
      <c r="R6" s="98" t="s">
        <v>97</v>
      </c>
    </row>
    <row r="7" spans="1:18" ht="39.75" customHeight="1" thickBot="1" x14ac:dyDescent="0.25">
      <c r="A7" s="413" t="s">
        <v>98</v>
      </c>
      <c r="B7" s="423" t="s">
        <v>99</v>
      </c>
      <c r="C7" s="425" t="s">
        <v>98</v>
      </c>
      <c r="D7" s="266" t="s">
        <v>67</v>
      </c>
      <c r="E7" s="99">
        <f>+G7+I7+K7+M7+O7+Q7</f>
        <v>28792178</v>
      </c>
      <c r="F7" s="107"/>
      <c r="G7" s="262">
        <f>+'I.- EQUIPAMIENTO'!E16</f>
        <v>28792178</v>
      </c>
      <c r="H7" s="107"/>
      <c r="I7" s="262">
        <v>0</v>
      </c>
      <c r="J7" s="107"/>
      <c r="K7" s="262">
        <v>0</v>
      </c>
      <c r="L7" s="107"/>
      <c r="M7" s="262">
        <v>0</v>
      </c>
      <c r="N7" s="107"/>
      <c r="O7" s="262">
        <v>0</v>
      </c>
      <c r="P7" s="107"/>
      <c r="Q7" s="262">
        <v>0</v>
      </c>
      <c r="R7" s="107"/>
    </row>
    <row r="8" spans="1:18" ht="39.75" customHeight="1" thickBot="1" x14ac:dyDescent="0.25">
      <c r="A8" s="413"/>
      <c r="B8" s="424"/>
      <c r="C8" s="426"/>
      <c r="D8" s="267" t="s">
        <v>32</v>
      </c>
      <c r="E8" s="99">
        <f t="shared" ref="E8:E15" si="0">+G8+I8+K8+M8+O8+Q8</f>
        <v>0</v>
      </c>
      <c r="F8" s="108"/>
      <c r="G8" s="262">
        <f>+'I.- EQUIPAMIENTO'!E17</f>
        <v>0</v>
      </c>
      <c r="H8" s="108"/>
      <c r="I8" s="262">
        <v>0</v>
      </c>
      <c r="J8" s="108"/>
      <c r="K8" s="262">
        <v>0</v>
      </c>
      <c r="L8" s="108"/>
      <c r="M8" s="262">
        <v>0</v>
      </c>
      <c r="N8" s="108"/>
      <c r="O8" s="262">
        <v>0</v>
      </c>
      <c r="P8" s="108"/>
      <c r="Q8" s="262">
        <v>0</v>
      </c>
      <c r="R8" s="108"/>
    </row>
    <row r="9" spans="1:18" ht="39.75" customHeight="1" thickBot="1" x14ac:dyDescent="0.25">
      <c r="A9" s="413"/>
      <c r="B9" s="424" t="s">
        <v>100</v>
      </c>
      <c r="C9" s="426" t="s">
        <v>101</v>
      </c>
      <c r="D9" s="267" t="s">
        <v>55</v>
      </c>
      <c r="E9" s="99">
        <f t="shared" si="0"/>
        <v>0</v>
      </c>
      <c r="F9" s="108"/>
      <c r="G9" s="262">
        <f>+'I.- EQUIPAMIENTO'!E18</f>
        <v>0</v>
      </c>
      <c r="H9" s="108"/>
      <c r="I9" s="262">
        <v>0</v>
      </c>
      <c r="J9" s="108"/>
      <c r="K9" s="262">
        <v>0</v>
      </c>
      <c r="L9" s="108"/>
      <c r="M9" s="262">
        <v>0</v>
      </c>
      <c r="N9" s="108"/>
      <c r="O9" s="262">
        <v>0</v>
      </c>
      <c r="P9" s="108"/>
      <c r="Q9" s="262">
        <v>0</v>
      </c>
      <c r="R9" s="108"/>
    </row>
    <row r="10" spans="1:18" ht="39.75" customHeight="1" thickBot="1" x14ac:dyDescent="0.25">
      <c r="A10" s="413"/>
      <c r="B10" s="424"/>
      <c r="C10" s="426"/>
      <c r="D10" s="267" t="s">
        <v>71</v>
      </c>
      <c r="E10" s="99">
        <f t="shared" si="0"/>
        <v>0</v>
      </c>
      <c r="F10" s="99">
        <f t="shared" ref="F10:F15" si="1">+H10+J10+L10+N10+P10+R10</f>
        <v>0</v>
      </c>
      <c r="G10" s="262">
        <v>0</v>
      </c>
      <c r="H10" s="264">
        <v>0</v>
      </c>
      <c r="I10" s="262">
        <v>0</v>
      </c>
      <c r="J10" s="264">
        <v>0</v>
      </c>
      <c r="K10" s="262">
        <v>0</v>
      </c>
      <c r="L10" s="264">
        <v>0</v>
      </c>
      <c r="M10" s="262">
        <v>0</v>
      </c>
      <c r="N10" s="264">
        <v>0</v>
      </c>
      <c r="O10" s="262">
        <v>0</v>
      </c>
      <c r="P10" s="264">
        <v>0</v>
      </c>
      <c r="Q10" s="262">
        <v>0</v>
      </c>
      <c r="R10" s="264">
        <v>0</v>
      </c>
    </row>
    <row r="11" spans="1:18" ht="39.75" customHeight="1" thickBot="1" x14ac:dyDescent="0.25">
      <c r="A11" s="413"/>
      <c r="B11" s="424"/>
      <c r="C11" s="426"/>
      <c r="D11" s="267" t="s">
        <v>56</v>
      </c>
      <c r="E11" s="99">
        <f t="shared" si="0"/>
        <v>100000</v>
      </c>
      <c r="F11" s="99">
        <f>+H11+J11+L11+N11+P11+R11</f>
        <v>0</v>
      </c>
      <c r="G11" s="262">
        <f>+'I.- EQUIPAMIENTO'!E19</f>
        <v>100000</v>
      </c>
      <c r="H11" s="264">
        <v>0</v>
      </c>
      <c r="I11" s="262">
        <v>0</v>
      </c>
      <c r="J11" s="264">
        <v>0</v>
      </c>
      <c r="K11" s="262">
        <v>0</v>
      </c>
      <c r="L11" s="264">
        <v>0</v>
      </c>
      <c r="M11" s="262">
        <v>0</v>
      </c>
      <c r="N11" s="264">
        <v>0</v>
      </c>
      <c r="O11" s="262">
        <v>0</v>
      </c>
      <c r="P11" s="264">
        <v>0</v>
      </c>
      <c r="Q11" s="262">
        <v>0</v>
      </c>
      <c r="R11" s="264">
        <v>0</v>
      </c>
    </row>
    <row r="12" spans="1:18" ht="39.75" customHeight="1" thickBot="1" x14ac:dyDescent="0.25">
      <c r="A12" s="413"/>
      <c r="B12" s="424"/>
      <c r="C12" s="426"/>
      <c r="D12" s="267" t="s">
        <v>57</v>
      </c>
      <c r="E12" s="99">
        <f t="shared" si="0"/>
        <v>0</v>
      </c>
      <c r="F12" s="99">
        <f t="shared" si="1"/>
        <v>0</v>
      </c>
      <c r="G12" s="262">
        <f>+'I.- EQUIPAMIENTO'!E20</f>
        <v>0</v>
      </c>
      <c r="H12" s="264">
        <v>0</v>
      </c>
      <c r="I12" s="262">
        <v>0</v>
      </c>
      <c r="J12" s="264">
        <v>0</v>
      </c>
      <c r="K12" s="262">
        <v>0</v>
      </c>
      <c r="L12" s="264">
        <v>0</v>
      </c>
      <c r="M12" s="262">
        <v>0</v>
      </c>
      <c r="N12" s="264">
        <v>0</v>
      </c>
      <c r="O12" s="262">
        <v>0</v>
      </c>
      <c r="P12" s="264">
        <v>0</v>
      </c>
      <c r="Q12" s="262">
        <v>0</v>
      </c>
      <c r="R12" s="264">
        <v>0</v>
      </c>
    </row>
    <row r="13" spans="1:18" ht="34.5" customHeight="1" thickBot="1" x14ac:dyDescent="0.25">
      <c r="A13" s="413" t="s">
        <v>102</v>
      </c>
      <c r="B13" s="424" t="s">
        <v>103</v>
      </c>
      <c r="C13" s="426" t="s">
        <v>104</v>
      </c>
      <c r="D13" s="267" t="s">
        <v>58</v>
      </c>
      <c r="E13" s="99">
        <f t="shared" si="0"/>
        <v>500000</v>
      </c>
      <c r="F13" s="99">
        <f t="shared" si="1"/>
        <v>2610000</v>
      </c>
      <c r="G13" s="262">
        <v>500000</v>
      </c>
      <c r="H13" s="264">
        <v>2610000</v>
      </c>
      <c r="I13" s="262">
        <v>0</v>
      </c>
      <c r="J13" s="264">
        <v>0</v>
      </c>
      <c r="K13" s="262">
        <v>0</v>
      </c>
      <c r="L13" s="264">
        <v>0</v>
      </c>
      <c r="M13" s="262">
        <v>0</v>
      </c>
      <c r="N13" s="264">
        <v>0</v>
      </c>
      <c r="O13" s="262">
        <v>0</v>
      </c>
      <c r="P13" s="264">
        <v>0</v>
      </c>
      <c r="Q13" s="262">
        <v>0</v>
      </c>
      <c r="R13" s="264">
        <v>0</v>
      </c>
    </row>
    <row r="14" spans="1:18" ht="36" customHeight="1" thickBot="1" x14ac:dyDescent="0.25">
      <c r="A14" s="413"/>
      <c r="B14" s="431"/>
      <c r="C14" s="433"/>
      <c r="D14" s="267" t="s">
        <v>74</v>
      </c>
      <c r="E14" s="99">
        <f t="shared" si="0"/>
        <v>18000000</v>
      </c>
      <c r="F14" s="99">
        <f t="shared" si="1"/>
        <v>108209000</v>
      </c>
      <c r="G14" s="262">
        <v>18000000</v>
      </c>
      <c r="H14" s="264">
        <v>108209000</v>
      </c>
      <c r="I14" s="262">
        <v>0</v>
      </c>
      <c r="J14" s="264">
        <v>0</v>
      </c>
      <c r="K14" s="262">
        <v>0</v>
      </c>
      <c r="L14" s="264">
        <v>0</v>
      </c>
      <c r="M14" s="262">
        <v>0</v>
      </c>
      <c r="N14" s="264">
        <v>0</v>
      </c>
      <c r="O14" s="262">
        <v>0</v>
      </c>
      <c r="P14" s="264">
        <v>0</v>
      </c>
      <c r="Q14" s="262">
        <v>0</v>
      </c>
      <c r="R14" s="264">
        <v>0</v>
      </c>
    </row>
    <row r="15" spans="1:18" ht="36" customHeight="1" thickBot="1" x14ac:dyDescent="0.25">
      <c r="A15" s="414"/>
      <c r="B15" s="432"/>
      <c r="C15" s="434"/>
      <c r="D15" s="268" t="s">
        <v>105</v>
      </c>
      <c r="E15" s="99">
        <f t="shared" si="0"/>
        <v>0</v>
      </c>
      <c r="F15" s="99">
        <f t="shared" si="1"/>
        <v>6750000</v>
      </c>
      <c r="G15" s="263">
        <v>0</v>
      </c>
      <c r="H15" s="265">
        <v>6750000</v>
      </c>
      <c r="I15" s="263">
        <v>0</v>
      </c>
      <c r="J15" s="265">
        <v>0</v>
      </c>
      <c r="K15" s="263">
        <v>0</v>
      </c>
      <c r="L15" s="265">
        <v>0</v>
      </c>
      <c r="M15" s="263">
        <v>0</v>
      </c>
      <c r="N15" s="265">
        <v>0</v>
      </c>
      <c r="O15" s="263">
        <v>0</v>
      </c>
      <c r="P15" s="265">
        <v>0</v>
      </c>
      <c r="Q15" s="263">
        <v>0</v>
      </c>
      <c r="R15" s="265">
        <v>0</v>
      </c>
    </row>
    <row r="16" spans="1:18" ht="41" customHeight="1" thickBot="1" x14ac:dyDescent="0.25">
      <c r="A16" s="92"/>
      <c r="B16" s="427"/>
      <c r="C16" s="428"/>
      <c r="D16" s="101" t="s">
        <v>77</v>
      </c>
      <c r="E16" s="102">
        <f t="shared" ref="E16:P16" si="2">SUM(E7:E15)</f>
        <v>47392178</v>
      </c>
      <c r="F16" s="102">
        <f t="shared" si="2"/>
        <v>117569000</v>
      </c>
      <c r="G16" s="102">
        <f>SUM(G7:G15)</f>
        <v>47392178</v>
      </c>
      <c r="H16" s="103">
        <f t="shared" si="2"/>
        <v>117569000</v>
      </c>
      <c r="I16" s="102">
        <f t="shared" si="2"/>
        <v>0</v>
      </c>
      <c r="J16" s="103">
        <f t="shared" si="2"/>
        <v>0</v>
      </c>
      <c r="K16" s="102">
        <f t="shared" si="2"/>
        <v>0</v>
      </c>
      <c r="L16" s="103">
        <f t="shared" si="2"/>
        <v>0</v>
      </c>
      <c r="M16" s="102">
        <f t="shared" si="2"/>
        <v>0</v>
      </c>
      <c r="N16" s="103">
        <f t="shared" si="2"/>
        <v>0</v>
      </c>
      <c r="O16" s="102">
        <f t="shared" si="2"/>
        <v>0</v>
      </c>
      <c r="P16" s="103">
        <f t="shared" si="2"/>
        <v>0</v>
      </c>
      <c r="Q16" s="102">
        <f t="shared" ref="Q16:R16" si="3">SUM(Q7:Q15)</f>
        <v>0</v>
      </c>
      <c r="R16" s="103">
        <f t="shared" si="3"/>
        <v>0</v>
      </c>
    </row>
    <row r="17" spans="1:18" x14ac:dyDescent="0.2">
      <c r="A17" s="92"/>
      <c r="B17" s="92"/>
      <c r="C17" s="92"/>
      <c r="D17" s="104"/>
      <c r="E17" s="92"/>
      <c r="F17" s="92"/>
      <c r="G17" s="105"/>
      <c r="H17" s="92"/>
      <c r="I17" s="105"/>
      <c r="J17" s="92"/>
      <c r="K17" s="105"/>
      <c r="L17" s="92"/>
      <c r="M17" s="105"/>
      <c r="N17" s="92"/>
      <c r="O17" s="105"/>
      <c r="P17" s="92"/>
      <c r="Q17" s="105"/>
      <c r="R17" s="92"/>
    </row>
  </sheetData>
  <sheetProtection algorithmName="SHA-512" hashValue="FCThNN7AmLQulaHdwkYSULrsUi3zuyLiWj4P1Gm7Pz5rnVnn2KEQL0GmUcM0SRThs/iJFulAeKidu0vGbx8IvQ==" saltValue="8nfIwnMgXkJkLC/h9Q2/aQ==" spinCount="100000" sheet="1"/>
  <mergeCells count="21">
    <mergeCell ref="B16:C16"/>
    <mergeCell ref="E5:F5"/>
    <mergeCell ref="I5:J5"/>
    <mergeCell ref="K5:L5"/>
    <mergeCell ref="M5:N5"/>
    <mergeCell ref="B13:B15"/>
    <mergeCell ref="C13:C15"/>
    <mergeCell ref="Q5:R5"/>
    <mergeCell ref="B1:P1"/>
    <mergeCell ref="A7:A12"/>
    <mergeCell ref="A13:A15"/>
    <mergeCell ref="B2:H2"/>
    <mergeCell ref="B3:H3"/>
    <mergeCell ref="B5:D5"/>
    <mergeCell ref="G5:H5"/>
    <mergeCell ref="B6:C6"/>
    <mergeCell ref="O5:P5"/>
    <mergeCell ref="B7:B8"/>
    <mergeCell ref="C7:C8"/>
    <mergeCell ref="B9:B12"/>
    <mergeCell ref="C9:C12"/>
  </mergeCells>
  <dataValidations count="1">
    <dataValidation operator="greaterThanOrEqual" allowBlank="1" showInputMessage="1" sqref="O7:O15 M7:M15 K7:K15 I7:I15 G7:G15 Q7:Q15" xr:uid="{00000000-0002-0000-0400-000000000000}"/>
  </dataValidations>
  <printOptions horizontalCentered="1"/>
  <pageMargins left="0" right="0" top="0.78740157480314965" bottom="0.78740157480314965" header="0" footer="0.59055118110236227"/>
  <pageSetup paperSize="119" scale="70" orientation="landscape" r:id="rId1"/>
  <headerFooter alignWithMargins="0">
    <oddFooter>&amp;L&amp;A - &amp;F
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4"/>
  <dimension ref="B1:L23"/>
  <sheetViews>
    <sheetView showGridLines="0" zoomScale="90" zoomScaleNormal="90" workbookViewId="0">
      <selection activeCell="G7" sqref="G7:H8"/>
    </sheetView>
  </sheetViews>
  <sheetFormatPr baseColWidth="10" defaultColWidth="11.5" defaultRowHeight="15" x14ac:dyDescent="0.2"/>
  <cols>
    <col min="1" max="1" width="4" style="135" customWidth="1"/>
    <col min="2" max="2" width="6.83203125" style="135" customWidth="1"/>
    <col min="3" max="3" width="4" style="135" customWidth="1"/>
    <col min="4" max="4" width="18.83203125" style="135" customWidth="1"/>
    <col min="5" max="5" width="41.5" style="135" customWidth="1"/>
    <col min="6" max="9" width="30" style="135" customWidth="1"/>
    <col min="10" max="10" width="3.5" style="135" customWidth="1"/>
    <col min="11" max="11" width="12.6640625" style="135" customWidth="1"/>
    <col min="12" max="12" width="17.5" style="135" customWidth="1"/>
    <col min="13" max="13" width="20.5" style="135" customWidth="1"/>
    <col min="14" max="14" width="16.5" style="135" customWidth="1"/>
    <col min="15" max="15" width="9.5" style="135" customWidth="1"/>
    <col min="16" max="16384" width="11.5" style="135"/>
  </cols>
  <sheetData>
    <row r="1" spans="2:12" s="253" customFormat="1" ht="28.25" customHeight="1" x14ac:dyDescent="0.2">
      <c r="B1" s="438" t="s">
        <v>106</v>
      </c>
      <c r="C1" s="439"/>
      <c r="D1" s="439"/>
      <c r="E1" s="439"/>
      <c r="F1" s="439"/>
      <c r="G1" s="439"/>
      <c r="H1" s="439"/>
      <c r="I1" s="440"/>
      <c r="J1" s="252"/>
    </row>
    <row r="2" spans="2:12" hidden="1" x14ac:dyDescent="0.2">
      <c r="B2" s="227"/>
      <c r="C2" s="450"/>
      <c r="D2" s="450"/>
      <c r="E2" s="450"/>
      <c r="F2" s="450"/>
      <c r="G2" s="450"/>
      <c r="H2" s="450"/>
      <c r="I2" s="450"/>
      <c r="J2" s="227"/>
    </row>
    <row r="3" spans="2:12" ht="9" customHeight="1" thickBot="1" x14ac:dyDescent="0.25">
      <c r="B3" s="227"/>
      <c r="C3" s="453"/>
      <c r="D3" s="454"/>
      <c r="E3" s="454"/>
      <c r="F3" s="454"/>
      <c r="G3" s="454"/>
      <c r="H3" s="454"/>
      <c r="I3" s="454"/>
      <c r="J3" s="227"/>
    </row>
    <row r="4" spans="2:12" ht="13.5" hidden="1" customHeight="1" thickBot="1" x14ac:dyDescent="0.25">
      <c r="B4" s="227"/>
      <c r="C4" s="227"/>
      <c r="D4" s="227"/>
      <c r="E4" s="227"/>
      <c r="F4" s="227"/>
      <c r="G4" s="227"/>
      <c r="H4" s="227"/>
      <c r="I4" s="228"/>
      <c r="J4" s="227"/>
    </row>
    <row r="5" spans="2:12" ht="30" customHeight="1" thickBot="1" x14ac:dyDescent="0.25">
      <c r="B5" s="441" t="s">
        <v>107</v>
      </c>
      <c r="C5" s="442"/>
      <c r="D5" s="442"/>
      <c r="E5" s="442"/>
      <c r="F5" s="456" t="s">
        <v>108</v>
      </c>
      <c r="G5" s="451" t="s">
        <v>109</v>
      </c>
      <c r="H5" s="451" t="s">
        <v>110</v>
      </c>
      <c r="I5" s="455"/>
      <c r="J5" s="229"/>
    </row>
    <row r="6" spans="2:12" ht="23" customHeight="1" thickBot="1" x14ac:dyDescent="0.25">
      <c r="B6" s="230" t="s">
        <v>93</v>
      </c>
      <c r="C6" s="460" t="s">
        <v>94</v>
      </c>
      <c r="D6" s="460"/>
      <c r="E6" s="231" t="s">
        <v>95</v>
      </c>
      <c r="F6" s="457"/>
      <c r="G6" s="452"/>
      <c r="H6" s="232" t="s">
        <v>96</v>
      </c>
      <c r="I6" s="233" t="s">
        <v>97</v>
      </c>
      <c r="J6" s="229"/>
    </row>
    <row r="7" spans="2:12" ht="32.5" customHeight="1" x14ac:dyDescent="0.2">
      <c r="B7" s="435" t="s">
        <v>98</v>
      </c>
      <c r="C7" s="458" t="s">
        <v>99</v>
      </c>
      <c r="D7" s="459" t="s">
        <v>98</v>
      </c>
      <c r="E7" s="332" t="s">
        <v>67</v>
      </c>
      <c r="F7" s="234">
        <f>G7+H7</f>
        <v>281208490</v>
      </c>
      <c r="G7" s="327">
        <f>+'II TRASLADOS , INST. OPERACION'!E7</f>
        <v>252416312</v>
      </c>
      <c r="H7" s="327">
        <f>+'II TRASLADOS , INST. OPERACION'!F7</f>
        <v>28792178</v>
      </c>
      <c r="I7" s="235"/>
      <c r="J7" s="229"/>
      <c r="L7" s="236"/>
    </row>
    <row r="8" spans="2:12" ht="32.5" customHeight="1" x14ac:dyDescent="0.2">
      <c r="B8" s="436"/>
      <c r="C8" s="448"/>
      <c r="D8" s="446"/>
      <c r="E8" s="333" t="s">
        <v>32</v>
      </c>
      <c r="F8" s="237">
        <f>G8+H8</f>
        <v>12713288</v>
      </c>
      <c r="G8" s="328">
        <f>+'II TRASLADOS , INST. OPERACION'!E8</f>
        <v>12713288</v>
      </c>
      <c r="H8" s="328">
        <f>+'II TRASLADOS , INST. OPERACION'!F8</f>
        <v>0</v>
      </c>
      <c r="I8" s="238"/>
      <c r="J8" s="229"/>
      <c r="L8" s="236"/>
    </row>
    <row r="9" spans="2:12" ht="32.5" customHeight="1" x14ac:dyDescent="0.2">
      <c r="B9" s="436"/>
      <c r="C9" s="448" t="s">
        <v>100</v>
      </c>
      <c r="D9" s="446" t="s">
        <v>111</v>
      </c>
      <c r="E9" s="333" t="s">
        <v>55</v>
      </c>
      <c r="F9" s="237">
        <f>G9+H9</f>
        <v>83600521</v>
      </c>
      <c r="G9" s="328">
        <f>'II TRASLADOS , INST. OPERACION'!E9</f>
        <v>83600521</v>
      </c>
      <c r="H9" s="328">
        <f>+'II TRASLADOS , INST. OPERACION'!F9</f>
        <v>0</v>
      </c>
      <c r="I9" s="238"/>
      <c r="J9" s="229"/>
      <c r="L9" s="239"/>
    </row>
    <row r="10" spans="2:12" ht="32.5" customHeight="1" x14ac:dyDescent="0.2">
      <c r="B10" s="436"/>
      <c r="C10" s="448"/>
      <c r="D10" s="446"/>
      <c r="E10" s="333" t="s">
        <v>71</v>
      </c>
      <c r="F10" s="237">
        <f>G10+H10+I10</f>
        <v>2000000</v>
      </c>
      <c r="G10" s="328">
        <f>'II TRASLADOS , INST. OPERACION'!E10</f>
        <v>2000000</v>
      </c>
      <c r="H10" s="328">
        <f>+'II TRASLADOS , INST. OPERACION'!F10</f>
        <v>0</v>
      </c>
      <c r="I10" s="329">
        <f>'II TRASLADOS , INST. OPERACION'!G10</f>
        <v>0</v>
      </c>
      <c r="J10" s="229"/>
    </row>
    <row r="11" spans="2:12" ht="32.5" customHeight="1" x14ac:dyDescent="0.2">
      <c r="B11" s="436"/>
      <c r="C11" s="448"/>
      <c r="D11" s="446"/>
      <c r="E11" s="333" t="s">
        <v>56</v>
      </c>
      <c r="F11" s="237">
        <f>+G11+H11+I11</f>
        <v>600000</v>
      </c>
      <c r="G11" s="328">
        <f>'II TRASLADOS , INST. OPERACION'!E11</f>
        <v>500000</v>
      </c>
      <c r="H11" s="328">
        <f>+'II TRASLADOS , INST. OPERACION'!F11</f>
        <v>100000</v>
      </c>
      <c r="I11" s="329">
        <f>'II TRASLADOS , INST. OPERACION'!G11</f>
        <v>0</v>
      </c>
      <c r="J11" s="229"/>
      <c r="K11" s="449" t="str">
        <f>IF(G11="","No puede tener celdas vacías",IF(G12="","No puede tener celdas vacías",IF(H11="","No puede tener celdas vacías",IF(H12="","No puede tener celdas vacías",IF(I10="","No puede tener celdas vacías",IF(I11="","No puede tener celdas vacías",IF(I12="","No puede tener celdas vacías","")))))))</f>
        <v/>
      </c>
      <c r="L11" s="449"/>
    </row>
    <row r="12" spans="2:12" ht="32.5" customHeight="1" x14ac:dyDescent="0.2">
      <c r="B12" s="436"/>
      <c r="C12" s="448"/>
      <c r="D12" s="446"/>
      <c r="E12" s="333" t="s">
        <v>57</v>
      </c>
      <c r="F12" s="240">
        <f>IF(SUM(G12+H12+I12)=0,"Este Sub Item debe contemplar Financiamiento",SUM(G12:I12))</f>
        <v>9500000</v>
      </c>
      <c r="G12" s="328">
        <f>'II TRASLADOS , INST. OPERACION'!E12</f>
        <v>9500000</v>
      </c>
      <c r="H12" s="328">
        <f>+'II TRASLADOS , INST. OPERACION'!F12</f>
        <v>0</v>
      </c>
      <c r="I12" s="329">
        <f>'II TRASLADOS , INST. OPERACION'!G12</f>
        <v>0</v>
      </c>
      <c r="J12" s="229"/>
      <c r="K12" s="449"/>
      <c r="L12" s="449"/>
    </row>
    <row r="13" spans="2:12" ht="32.5" customHeight="1" x14ac:dyDescent="0.2">
      <c r="B13" s="436" t="s">
        <v>102</v>
      </c>
      <c r="C13" s="448" t="s">
        <v>103</v>
      </c>
      <c r="D13" s="446" t="s">
        <v>104</v>
      </c>
      <c r="E13" s="333" t="s">
        <v>58</v>
      </c>
      <c r="F13" s="241">
        <f>H13+I13</f>
        <v>3110000</v>
      </c>
      <c r="G13" s="242"/>
      <c r="H13" s="328">
        <f>+'II TRASLADOS , INST. OPERACION'!F14</f>
        <v>500000</v>
      </c>
      <c r="I13" s="329">
        <f>+'II TRASLADOS , INST. OPERACION'!G14</f>
        <v>2610000</v>
      </c>
      <c r="J13" s="229"/>
      <c r="K13" s="449" t="str">
        <f>IF(H13="","No puede tener celdas vacías",IF(H15="","No puede tener celdas vacías",IF(I13="","No puede tener celdas vacías",IF(I15="","No puede tener celdas vacías",""))))</f>
        <v/>
      </c>
      <c r="L13" s="449"/>
    </row>
    <row r="14" spans="2:12" ht="32.5" customHeight="1" x14ac:dyDescent="0.2">
      <c r="B14" s="436"/>
      <c r="C14" s="448"/>
      <c r="D14" s="446"/>
      <c r="E14" s="333" t="s">
        <v>74</v>
      </c>
      <c r="F14" s="241">
        <f>H14+I14</f>
        <v>126209000</v>
      </c>
      <c r="G14" s="242"/>
      <c r="H14" s="328">
        <f>+'II TRASLADOS , INST. OPERACION'!F15</f>
        <v>18000000</v>
      </c>
      <c r="I14" s="329">
        <f>+'II TRASLADOS , INST. OPERACION'!G15</f>
        <v>108209000</v>
      </c>
      <c r="J14" s="229"/>
      <c r="K14" s="449"/>
      <c r="L14" s="449"/>
    </row>
    <row r="15" spans="2:12" ht="32.5" customHeight="1" thickBot="1" x14ac:dyDescent="0.25">
      <c r="B15" s="437"/>
      <c r="C15" s="452"/>
      <c r="D15" s="447"/>
      <c r="E15" s="334" t="s">
        <v>105</v>
      </c>
      <c r="F15" s="243">
        <f>+H15+I15</f>
        <v>6750000</v>
      </c>
      <c r="G15" s="244"/>
      <c r="H15" s="330">
        <f>+'II TRASLADOS , INST. OPERACION'!F16</f>
        <v>0</v>
      </c>
      <c r="I15" s="331">
        <f>+'II TRASLADOS , INST. OPERACION'!G16</f>
        <v>6750000</v>
      </c>
      <c r="J15" s="229"/>
      <c r="K15" s="449"/>
      <c r="L15" s="449"/>
    </row>
    <row r="16" spans="2:12" ht="111" customHeight="1" thickBot="1" x14ac:dyDescent="0.25">
      <c r="B16" s="443" t="s">
        <v>112</v>
      </c>
      <c r="C16" s="444"/>
      <c r="D16" s="445"/>
      <c r="E16" s="245" t="s">
        <v>77</v>
      </c>
      <c r="F16" s="246">
        <f>IF(SUM(F7:F8)&lt;50000000,"El Monto Mínimo del ítem Equipamiento debe ser $50.000.000.-",SUM(F7:F15))</f>
        <v>525691299</v>
      </c>
      <c r="G16" s="247">
        <f>IF(SUM(G7:G15)&gt;400000000,"Monto Solicitado a FONDEQUIP no puede ser mayor a $400.000.000 (máximo a financiar por Proyecto).-",IF(SUM(G9:G12)&gt;(SUM(G7:G8)*0.5),"Total B. Traslados e Instalación no puede ser Mayor al 50% de  A. Equipamiento.- ",SUM(G7:G15)))</f>
        <v>360730121</v>
      </c>
      <c r="H16" s="247">
        <f>IF(('II TRASLADOS , INST. OPERACION'!E29=0),"Aporte Pecuniario debe ser, al menos, el 10% de A. Equipamiento en los sub-ítems correspondientes.-",SUM(H7:H15))</f>
        <v>47392178</v>
      </c>
      <c r="I16" s="248">
        <f>IF(SUM(SUM(I10:I15)+SUM(H7:H15))&lt;(F7+F8)*50%,"Aporte No Pecuniario debe ser, al menos, el equivalente al porcentaje no financiado con Aporte Pecuniario para cumplir con el mínimo correspondiente al 50% de A. Equipamiento.-",SUM(I7:I15))</f>
        <v>117569000</v>
      </c>
      <c r="J16" s="229"/>
    </row>
    <row r="17" spans="2:10" x14ac:dyDescent="0.2">
      <c r="B17" s="227"/>
      <c r="C17" s="227"/>
      <c r="D17" s="227"/>
      <c r="E17" s="249"/>
      <c r="F17" s="227"/>
      <c r="G17" s="250"/>
      <c r="H17" s="250"/>
      <c r="I17" s="227"/>
      <c r="J17" s="227"/>
    </row>
    <row r="23" spans="2:10" x14ac:dyDescent="0.2">
      <c r="G23" s="251"/>
    </row>
  </sheetData>
  <sheetProtection algorithmName="SHA-512" hashValue="gZzsbf8mAqvjeWtl2e2jZebznd0+cWrWYTEI2zov4VowEZl3Z9COzekucls6yp/a5ut65lRpi7piRybkibLLwA==" saltValue="pPaEB7n4MYFeVY5SsHkxdQ==" spinCount="100000" sheet="1" selectLockedCells="1"/>
  <mergeCells count="19">
    <mergeCell ref="K11:L12"/>
    <mergeCell ref="K13:L15"/>
    <mergeCell ref="C2:I2"/>
    <mergeCell ref="G5:G6"/>
    <mergeCell ref="C13:C15"/>
    <mergeCell ref="C3:I3"/>
    <mergeCell ref="H5:I5"/>
    <mergeCell ref="F5:F6"/>
    <mergeCell ref="C7:C8"/>
    <mergeCell ref="D7:D8"/>
    <mergeCell ref="C6:D6"/>
    <mergeCell ref="B7:B12"/>
    <mergeCell ref="B13:B15"/>
    <mergeCell ref="B1:I1"/>
    <mergeCell ref="B5:E5"/>
    <mergeCell ref="B16:D16"/>
    <mergeCell ref="D13:D15"/>
    <mergeCell ref="C9:C12"/>
    <mergeCell ref="D9:D12"/>
  </mergeCells>
  <conditionalFormatting sqref="F12">
    <cfRule type="containsText" dxfId="61" priority="1" stopIfTrue="1" operator="containsText" text="Este Sub Item">
      <formula>NOT(ISERROR(SEARCH("Este Sub Item",F12)))</formula>
    </cfRule>
  </conditionalFormatting>
  <conditionalFormatting sqref="F16">
    <cfRule type="containsText" dxfId="60" priority="5" stopIfTrue="1" operator="containsText" text="El Monto">
      <formula>NOT(ISERROR(SEARCH("El Monto",F16)))</formula>
    </cfRule>
  </conditionalFormatting>
  <conditionalFormatting sqref="G16">
    <cfRule type="cellIs" dxfId="59" priority="4" stopIfTrue="1" operator="greaterThan">
      <formula>400000000</formula>
    </cfRule>
  </conditionalFormatting>
  <conditionalFormatting sqref="H16:I16">
    <cfRule type="containsText" dxfId="58" priority="2" stopIfTrue="1" operator="containsText" text="Debe ser">
      <formula>NOT(ISERROR(SEARCH("Debe ser",H16)))</formula>
    </cfRule>
  </conditionalFormatting>
  <conditionalFormatting sqref="K11">
    <cfRule type="containsText" dxfId="57" priority="13" stopIfTrue="1" operator="containsText" text="Monto Item Equipamiento OK">
      <formula>NOT(ISERROR(SEARCH("Monto Item Equipamiento OK",K11)))</formula>
    </cfRule>
    <cfRule type="containsText" dxfId="56" priority="14" operator="containsText" text="$50.000.000">
      <formula>NOT(ISERROR(SEARCH("$50.000.000",K11)))</formula>
    </cfRule>
    <cfRule type="containsText" dxfId="55" priority="15" operator="containsText" text="Excede">
      <formula>NOT(ISERROR(SEARCH("Excede",K11)))</formula>
    </cfRule>
    <cfRule type="containsText" dxfId="54" priority="16" operator="containsText" text="M$50.000">
      <formula>NOT(ISERROR(SEARCH("M$50.000",K11)))</formula>
    </cfRule>
  </conditionalFormatting>
  <conditionalFormatting sqref="K13:K14">
    <cfRule type="containsText" dxfId="53" priority="17" operator="containsText" text="$50.000.000">
      <formula>NOT(ISERROR(SEARCH("$50.000.000",K13)))</formula>
    </cfRule>
    <cfRule type="containsText" dxfId="52" priority="18" operator="containsText" text="Excede">
      <formula>NOT(ISERROR(SEARCH("Excede",K13)))</formula>
    </cfRule>
    <cfRule type="containsText" dxfId="51" priority="19" operator="containsText" text="M$50.000">
      <formula>NOT(ISERROR(SEARCH("M$50.000",K13)))</formula>
    </cfRule>
    <cfRule type="containsText" dxfId="50" priority="20" stopIfTrue="1" operator="containsText" text="Monto Item Equipamiento OK">
      <formula>NOT(ISERROR(SEARCH("Monto Item Equipamiento OK",K13)))</formula>
    </cfRule>
  </conditionalFormatting>
  <conditionalFormatting sqref="K11:L12">
    <cfRule type="containsText" dxfId="49" priority="11" stopIfTrue="1" operator="containsText" text="No puede tener">
      <formula>NOT(ISERROR(SEARCH("No puede tener",K11)))</formula>
    </cfRule>
  </conditionalFormatting>
  <conditionalFormatting sqref="K13:L15">
    <cfRule type="containsText" dxfId="48" priority="10" stopIfTrue="1" operator="containsText" text="No puede tener">
      <formula>NOT(ISERROR(SEARCH("No puede tener",K13)))</formula>
    </cfRule>
  </conditionalFormatting>
  <dataValidations xWindow="766" yWindow="436" count="5">
    <dataValidation type="custom" allowBlank="1" showInputMessage="1" showErrorMessage="1" errorTitle="Error" error="La suma de este Item B.TRASLADOS E INSTALACION a financiar por CONICYT, no puede ser Mayor al total del Item A.EQUIPAMIENTO" sqref="G10" xr:uid="{00000000-0002-0000-0500-000000000000}">
      <formula1>SUM(G9:G12)&lt;=(F7+F8)</formula1>
    </dataValidation>
    <dataValidation type="custom" allowBlank="1" showInputMessage="1" showErrorMessage="1" errorTitle="Error" error="La suma de este Item B.TRASLADOS E INSTALACION a financiar por CONICYT, no puede ser Mayor al total del Item A. EQUIPAMIENTO" sqref="G7:G9" xr:uid="{00000000-0002-0000-0500-000001000000}">
      <formula1>SUM(G7:G10)&lt;=(F5+F6)</formula1>
    </dataValidation>
    <dataValidation type="custom" allowBlank="1" showInputMessage="1" showErrorMessage="1" errorTitle="Error" error="La suma de este Item B.TRASLADOS E INSTALACION a financiar por CONICYT, no puede ser Mayor al total del Item A.EQUIPAMIENTO" sqref="G11" xr:uid="{00000000-0002-0000-0500-000002000000}">
      <formula1>SUM(G9:G12)&lt;=(F7+F8)</formula1>
    </dataValidation>
    <dataValidation type="custom" allowBlank="1" showInputMessage="1" showErrorMessage="1" errorTitle="Error" error="La suma de este Item B.TRASLADOS E INSTALACION a financiar por CONICYT, no puede ser Mayor al total del Item A.EQUIPAMIENTO" sqref="G12" xr:uid="{00000000-0002-0000-0500-000003000000}">
      <formula1>SUM(G9:G12)&lt;=F7+F8</formula1>
    </dataValidation>
    <dataValidation operator="greaterThanOrEqual" allowBlank="1" showInputMessage="1" sqref="H7:H15" xr:uid="{00000000-0002-0000-0500-000004000000}"/>
  </dataValidations>
  <printOptions horizontalCentered="1"/>
  <pageMargins left="0" right="0" top="0.78740157480314965" bottom="0.78740157480314965" header="0" footer="0.59055118110236227"/>
  <pageSetup paperSize="119" scale="70" orientation="landscape" r:id="rId1"/>
  <headerFooter alignWithMargins="0">
    <oddFooter>&amp;L&amp;A - &amp;F
&amp;D</oddFooter>
  </headerFooter>
  <ignoredErrors>
    <ignoredError sqref="G9:G12 I10:I12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7"/>
  <sheetViews>
    <sheetView topLeftCell="A6" zoomScaleNormal="100" workbookViewId="0">
      <selection activeCell="E9" sqref="E9"/>
    </sheetView>
  </sheetViews>
  <sheetFormatPr baseColWidth="10" defaultColWidth="11.5" defaultRowHeight="15" x14ac:dyDescent="0.2"/>
  <cols>
    <col min="1" max="1" width="2" style="82" customWidth="1"/>
    <col min="2" max="2" width="2.6640625" style="82" customWidth="1"/>
    <col min="3" max="3" width="26.33203125" style="82" customWidth="1"/>
    <col min="4" max="4" width="16.83203125" style="82" customWidth="1"/>
    <col min="5" max="7" width="58" style="82" customWidth="1"/>
    <col min="8" max="8" width="2.83203125" style="82" customWidth="1"/>
    <col min="9" max="16384" width="11.5" style="82"/>
  </cols>
  <sheetData>
    <row r="1" spans="1:18" s="112" customFormat="1" ht="24" customHeight="1" x14ac:dyDescent="0.2">
      <c r="A1" s="121"/>
      <c r="B1" s="121"/>
      <c r="C1" s="464" t="s">
        <v>113</v>
      </c>
      <c r="D1" s="464"/>
      <c r="E1" s="464"/>
      <c r="F1" s="464"/>
      <c r="G1" s="464"/>
      <c r="H1" s="122"/>
      <c r="I1" s="123"/>
      <c r="J1" s="123"/>
      <c r="K1" s="123"/>
      <c r="L1" s="123"/>
      <c r="M1" s="123"/>
      <c r="N1" s="123"/>
      <c r="O1" s="123"/>
      <c r="P1" s="124"/>
      <c r="Q1" s="124"/>
      <c r="R1" s="124"/>
    </row>
    <row r="2" spans="1:18" s="135" customFormat="1" ht="34.25" customHeight="1" x14ac:dyDescent="0.2">
      <c r="A2" s="151"/>
      <c r="B2" s="254"/>
      <c r="C2" s="335" t="s">
        <v>114</v>
      </c>
      <c r="D2" s="336" t="s">
        <v>115</v>
      </c>
      <c r="E2" s="462" t="s">
        <v>116</v>
      </c>
      <c r="F2" s="463"/>
      <c r="G2" s="463"/>
      <c r="H2" s="151"/>
    </row>
    <row r="3" spans="1:18" s="135" customFormat="1" ht="150" customHeight="1" x14ac:dyDescent="0.2">
      <c r="A3" s="151"/>
      <c r="B3" s="461" t="s">
        <v>98</v>
      </c>
      <c r="C3" s="337" t="str">
        <f>+'III.- PRESUPUESTO FINAL'!E9</f>
        <v>B.1. Traslados, Seguros de Traslado, Desaduanaje e IVA de Equipo</v>
      </c>
      <c r="D3" s="338">
        <f>+'III.- PRESUPUESTO FINAL'!F9</f>
        <v>83600521</v>
      </c>
      <c r="E3" s="299" t="s">
        <v>154</v>
      </c>
      <c r="F3" s="299" t="s">
        <v>118</v>
      </c>
      <c r="G3" s="299" t="s">
        <v>119</v>
      </c>
      <c r="H3" s="255"/>
      <c r="I3" s="152"/>
      <c r="J3" s="152"/>
      <c r="K3" s="152"/>
      <c r="L3" s="152"/>
      <c r="M3" s="152"/>
      <c r="N3" s="152"/>
      <c r="O3" s="152"/>
      <c r="P3" s="256"/>
      <c r="Q3" s="256"/>
      <c r="R3" s="256"/>
    </row>
    <row r="4" spans="1:18" s="135" customFormat="1" ht="150" customHeight="1" x14ac:dyDescent="0.2">
      <c r="A4" s="151"/>
      <c r="B4" s="461"/>
      <c r="C4" s="337" t="str">
        <f>+'III.- PRESUPUESTO FINAL'!E10</f>
        <v>B.2. Adecuación Espacio para Equipo</v>
      </c>
      <c r="D4" s="338">
        <f>+'III.- PRESUPUESTO FINAL'!F10</f>
        <v>2000000</v>
      </c>
      <c r="E4" s="299" t="s">
        <v>155</v>
      </c>
      <c r="F4" s="299" t="s">
        <v>118</v>
      </c>
      <c r="G4" s="299" t="s">
        <v>119</v>
      </c>
      <c r="H4" s="255"/>
      <c r="I4" s="152"/>
      <c r="J4" s="152"/>
      <c r="K4" s="152"/>
      <c r="L4" s="152"/>
      <c r="M4" s="152"/>
      <c r="N4" s="152"/>
      <c r="O4" s="152"/>
      <c r="P4" s="256"/>
      <c r="Q4" s="256"/>
      <c r="R4" s="256"/>
    </row>
    <row r="5" spans="1:18" s="135" customFormat="1" ht="150" customHeight="1" x14ac:dyDescent="0.2">
      <c r="A5" s="151"/>
      <c r="B5" s="461"/>
      <c r="C5" s="337" t="str">
        <f>+'III.- PRESUPUESTO FINAL'!E11</f>
        <v>B.3. Instalación y Puesta en Marcha de Equipo</v>
      </c>
      <c r="D5" s="338">
        <f>+'III.- PRESUPUESTO FINAL'!F11</f>
        <v>600000</v>
      </c>
      <c r="E5" s="299" t="s">
        <v>160</v>
      </c>
      <c r="F5" s="299" t="s">
        <v>161</v>
      </c>
      <c r="G5" s="299" t="s">
        <v>119</v>
      </c>
      <c r="H5" s="255"/>
      <c r="I5" s="152"/>
      <c r="J5" s="152"/>
      <c r="K5" s="152"/>
      <c r="L5" s="152"/>
      <c r="M5" s="152"/>
      <c r="N5" s="152"/>
      <c r="O5" s="152"/>
      <c r="P5" s="256"/>
      <c r="Q5" s="256"/>
      <c r="R5" s="256"/>
    </row>
    <row r="6" spans="1:18" s="135" customFormat="1" ht="150" customHeight="1" x14ac:dyDescent="0.2">
      <c r="A6" s="151"/>
      <c r="B6" s="461"/>
      <c r="C6" s="337" t="str">
        <f>+'III.- PRESUPUESTO FINAL'!E12</f>
        <v>B.4. Mantención, Garantías y Seguros de Equipo</v>
      </c>
      <c r="D6" s="339">
        <f>+'III.- PRESUPUESTO FINAL'!F12</f>
        <v>9500000</v>
      </c>
      <c r="E6" s="299" t="s">
        <v>156</v>
      </c>
      <c r="F6" s="299" t="s">
        <v>157</v>
      </c>
      <c r="G6" s="299" t="s">
        <v>119</v>
      </c>
      <c r="H6" s="255"/>
      <c r="I6" s="152"/>
      <c r="J6" s="152"/>
      <c r="K6" s="152"/>
      <c r="L6" s="152"/>
      <c r="M6" s="152"/>
      <c r="N6" s="152"/>
      <c r="O6" s="152"/>
      <c r="P6" s="256"/>
      <c r="Q6" s="256"/>
      <c r="R6" s="256"/>
    </row>
    <row r="7" spans="1:18" s="135" customFormat="1" ht="7.25" customHeight="1" x14ac:dyDescent="0.2">
      <c r="A7" s="151"/>
      <c r="B7" s="257"/>
      <c r="C7" s="340"/>
      <c r="D7" s="341"/>
      <c r="E7" s="258"/>
      <c r="F7" s="256"/>
      <c r="G7" s="256"/>
      <c r="H7" s="259"/>
      <c r="I7" s="256"/>
      <c r="J7" s="256"/>
      <c r="K7" s="256"/>
      <c r="L7" s="256"/>
      <c r="M7" s="256"/>
      <c r="N7" s="256"/>
      <c r="O7" s="256"/>
      <c r="P7" s="256"/>
      <c r="Q7" s="256"/>
      <c r="R7" s="256"/>
    </row>
    <row r="8" spans="1:18" s="135" customFormat="1" ht="150" customHeight="1" x14ac:dyDescent="0.2">
      <c r="A8" s="151"/>
      <c r="B8" s="461" t="s">
        <v>120</v>
      </c>
      <c r="C8" s="337" t="str">
        <f>+'III.- PRESUPUESTO FINAL'!E13</f>
        <v>C.1. Capacitaciones</v>
      </c>
      <c r="D8" s="338">
        <f>+'III.- PRESUPUESTO FINAL'!F13</f>
        <v>3110000</v>
      </c>
      <c r="E8" s="299" t="s">
        <v>117</v>
      </c>
      <c r="F8" s="299" t="s">
        <v>159</v>
      </c>
      <c r="G8" s="299" t="s">
        <v>158</v>
      </c>
      <c r="H8" s="259"/>
      <c r="I8" s="256"/>
      <c r="J8" s="256"/>
      <c r="K8" s="256"/>
      <c r="L8" s="256"/>
      <c r="M8" s="256"/>
      <c r="N8" s="256"/>
      <c r="O8" s="256"/>
      <c r="P8" s="256"/>
      <c r="Q8" s="256"/>
      <c r="R8" s="256"/>
    </row>
    <row r="9" spans="1:18" s="135" customFormat="1" ht="150" customHeight="1" x14ac:dyDescent="0.2">
      <c r="A9" s="151"/>
      <c r="B9" s="461"/>
      <c r="C9" s="337" t="str">
        <f>+'III.- PRESUPUESTO FINAL'!E14</f>
        <v>C.2. Otros Gastos de Operación</v>
      </c>
      <c r="D9" s="338">
        <f>+'III.- PRESUPUESTO FINAL'!F14</f>
        <v>126209000</v>
      </c>
      <c r="E9" s="299" t="s">
        <v>117</v>
      </c>
      <c r="F9" s="356" t="s">
        <v>164</v>
      </c>
      <c r="G9" s="299" t="s">
        <v>162</v>
      </c>
      <c r="H9" s="259"/>
      <c r="I9" s="256"/>
      <c r="J9" s="256"/>
      <c r="K9" s="256"/>
      <c r="L9" s="256"/>
      <c r="M9" s="256"/>
      <c r="N9" s="256"/>
      <c r="O9" s="256"/>
      <c r="P9" s="256"/>
      <c r="Q9" s="256"/>
      <c r="R9" s="256"/>
    </row>
    <row r="10" spans="1:18" s="135" customFormat="1" ht="150" customHeight="1" x14ac:dyDescent="0.2">
      <c r="A10" s="151"/>
      <c r="B10" s="461"/>
      <c r="C10" s="337" t="str">
        <f>+'III.- PRESUPUESTO FINAL'!E15</f>
        <v>C.3. Gastos de Administración</v>
      </c>
      <c r="D10" s="338">
        <f>+'III.- PRESUPUESTO FINAL'!F15</f>
        <v>6750000</v>
      </c>
      <c r="E10" s="299" t="s">
        <v>117</v>
      </c>
      <c r="F10" s="299" t="s">
        <v>157</v>
      </c>
      <c r="G10" s="299" t="s">
        <v>163</v>
      </c>
      <c r="H10" s="259"/>
      <c r="I10" s="256"/>
      <c r="J10" s="256"/>
      <c r="K10" s="256"/>
      <c r="L10" s="256"/>
      <c r="M10" s="256"/>
      <c r="N10" s="256"/>
      <c r="O10" s="256"/>
      <c r="P10" s="256"/>
      <c r="Q10" s="256"/>
      <c r="R10" s="256"/>
    </row>
    <row r="11" spans="1:18" s="135" customFormat="1" x14ac:dyDescent="0.2">
      <c r="A11" s="151"/>
      <c r="B11" s="151"/>
      <c r="C11" s="259"/>
      <c r="D11" s="259"/>
      <c r="E11" s="259"/>
      <c r="F11" s="259"/>
      <c r="G11" s="259"/>
      <c r="H11" s="259"/>
      <c r="I11" s="256"/>
      <c r="J11" s="256"/>
      <c r="K11" s="256"/>
      <c r="L11" s="256"/>
      <c r="M11" s="256"/>
      <c r="N11" s="256"/>
      <c r="O11" s="256"/>
      <c r="P11" s="256"/>
      <c r="Q11" s="256"/>
      <c r="R11" s="256"/>
    </row>
    <row r="15" spans="1:18" x14ac:dyDescent="0.2">
      <c r="D15" s="117"/>
      <c r="E15" s="117"/>
      <c r="F15" s="117"/>
      <c r="G15" s="117"/>
      <c r="H15" s="117"/>
      <c r="I15" s="117"/>
      <c r="J15" s="117"/>
      <c r="K15" s="117"/>
      <c r="L15" s="118"/>
      <c r="M15" s="118"/>
      <c r="N15" s="118"/>
      <c r="O15" s="118"/>
      <c r="P15" s="119"/>
      <c r="Q15" s="119"/>
      <c r="R15" s="119"/>
    </row>
    <row r="16" spans="1:18" x14ac:dyDescent="0.2"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</row>
    <row r="17" spans="4:18" x14ac:dyDescent="0.2"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</row>
  </sheetData>
  <sheetProtection algorithmName="SHA-512" hashValue="HThceHRY+O66VTmEfC2NjLMMiZBqSchrYJdU8zxrv0XT4Ra/GTlemy/lCBjIW3e0lgrD7Lx8hu1Dq9NkudhsFQ==" saltValue="r3yEsr4L34oKMhlwv7vAoQ==" spinCount="100000" sheet="1" formatCells="0" formatColumns="0" formatRows="0" selectLockedCells="1"/>
  <mergeCells count="4">
    <mergeCell ref="B3:B6"/>
    <mergeCell ref="B8:B10"/>
    <mergeCell ref="E2:G2"/>
    <mergeCell ref="C1:G1"/>
  </mergeCells>
  <conditionalFormatting sqref="D6">
    <cfRule type="containsText" dxfId="47" priority="1" stopIfTrue="1" operator="containsText" text="Este Sub Item debe">
      <formula>NOT(ISERROR(SEARCH("Este Sub Item debe",D6)))</formula>
    </cfRule>
  </conditionalFormatting>
  <printOptions horizontalCentered="1"/>
  <pageMargins left="0" right="0" top="0.74803149606299213" bottom="0.74803149606299213" header="0.31496062992125984" footer="0.31496062992125984"/>
  <pageSetup scale="69" orientation="landscape" r:id="rId1"/>
  <headerFooter alignWithMargins="0">
    <oddFooter>&amp;L&amp;A - &amp;F
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6">
    <tabColor rgb="FF002060"/>
  </sheetPr>
  <dimension ref="A1:U30"/>
  <sheetViews>
    <sheetView showGridLines="0" topLeftCell="A2" zoomScale="90" zoomScaleNormal="90" workbookViewId="0">
      <pane xSplit="4" ySplit="6" topLeftCell="F8" activePane="bottomRight" state="frozen"/>
      <selection pane="topRight" activeCell="E2" sqref="E2"/>
      <selection pane="bottomLeft" activeCell="A8" sqref="A8"/>
      <selection pane="bottomRight" activeCell="F7" sqref="F7"/>
    </sheetView>
  </sheetViews>
  <sheetFormatPr baseColWidth="10" defaultColWidth="11.5" defaultRowHeight="12" x14ac:dyDescent="0.2"/>
  <cols>
    <col min="1" max="1" width="3" style="2" customWidth="1"/>
    <col min="2" max="2" width="3.83203125" style="2" customWidth="1"/>
    <col min="3" max="3" width="15" style="2" customWidth="1"/>
    <col min="4" max="4" width="32.1640625" style="2" customWidth="1"/>
    <col min="5" max="16" width="15.5" style="2" customWidth="1"/>
    <col min="17" max="17" width="3.5" style="2" customWidth="1"/>
    <col min="18" max="18" width="12.6640625" style="2" customWidth="1"/>
    <col min="19" max="19" width="17.5" style="2" customWidth="1"/>
    <col min="20" max="20" width="20.5" style="2" customWidth="1"/>
    <col min="21" max="21" width="16.5" style="2" hidden="1" customWidth="1"/>
    <col min="22" max="22" width="9.5" style="2" customWidth="1"/>
    <col min="23" max="16384" width="11.5" style="2"/>
  </cols>
  <sheetData>
    <row r="1" spans="1:19" ht="9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9" ht="28.5" customHeight="1" x14ac:dyDescent="0.2">
      <c r="A2" s="1"/>
      <c r="B2" s="467" t="s">
        <v>121</v>
      </c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1"/>
    </row>
    <row r="3" spans="1:19" hidden="1" x14ac:dyDescent="0.2">
      <c r="A3" s="1"/>
      <c r="B3" s="468"/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1"/>
    </row>
    <row r="4" spans="1:19" ht="9" customHeight="1" thickBot="1" x14ac:dyDescent="0.25">
      <c r="A4" s="1"/>
      <c r="B4" s="469"/>
      <c r="C4" s="470"/>
      <c r="D4" s="470"/>
      <c r="E4" s="470"/>
      <c r="F4" s="470"/>
      <c r="G4" s="470"/>
      <c r="H4" s="470"/>
      <c r="I4" s="470"/>
      <c r="J4" s="470"/>
      <c r="K4" s="470"/>
      <c r="L4" s="470"/>
      <c r="M4" s="470"/>
      <c r="N4" s="470"/>
      <c r="O4" s="470"/>
      <c r="P4" s="470"/>
      <c r="Q4" s="1"/>
    </row>
    <row r="5" spans="1:19" ht="13.5" hidden="1" customHeight="1" thickBo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3"/>
      <c r="Q5" s="1"/>
    </row>
    <row r="6" spans="1:19" ht="25.5" customHeight="1" thickBot="1" x14ac:dyDescent="0.25">
      <c r="A6" s="1"/>
      <c r="B6" s="471" t="s">
        <v>122</v>
      </c>
      <c r="C6" s="471"/>
      <c r="D6" s="472"/>
      <c r="E6" s="473" t="s">
        <v>115</v>
      </c>
      <c r="F6" s="474"/>
      <c r="G6" s="475"/>
      <c r="H6" s="473" t="s">
        <v>123</v>
      </c>
      <c r="I6" s="474"/>
      <c r="J6" s="475"/>
      <c r="K6" s="476" t="s">
        <v>110</v>
      </c>
      <c r="L6" s="477"/>
      <c r="M6" s="477"/>
      <c r="N6" s="477"/>
      <c r="O6" s="477"/>
      <c r="P6" s="478"/>
      <c r="Q6" s="4"/>
    </row>
    <row r="7" spans="1:19" ht="38" customHeight="1" thickBot="1" x14ac:dyDescent="0.25">
      <c r="A7" s="3"/>
      <c r="B7" s="488" t="s">
        <v>94</v>
      </c>
      <c r="C7" s="489"/>
      <c r="D7" s="5" t="s">
        <v>95</v>
      </c>
      <c r="E7" s="6" t="s">
        <v>124</v>
      </c>
      <c r="F7" s="85" t="s">
        <v>125</v>
      </c>
      <c r="G7" s="8" t="s">
        <v>126</v>
      </c>
      <c r="H7" s="6" t="s">
        <v>124</v>
      </c>
      <c r="I7" s="7" t="str">
        <f>+$F$7</f>
        <v>Modificación Solicitada
(Fecha:    )</v>
      </c>
      <c r="J7" s="8" t="s">
        <v>126</v>
      </c>
      <c r="K7" s="6" t="s">
        <v>127</v>
      </c>
      <c r="L7" s="7" t="str">
        <f>+$F$7</f>
        <v>Modificación Solicitada
(Fecha:    )</v>
      </c>
      <c r="M7" s="8" t="s">
        <v>128</v>
      </c>
      <c r="N7" s="6" t="s">
        <v>129</v>
      </c>
      <c r="O7" s="7" t="str">
        <f>+$F$7</f>
        <v>Modificación Solicitada
(Fecha:    )</v>
      </c>
      <c r="P7" s="8" t="s">
        <v>130</v>
      </c>
      <c r="Q7" s="4"/>
    </row>
    <row r="8" spans="1:19" ht="38" customHeight="1" x14ac:dyDescent="0.2">
      <c r="A8" s="3"/>
      <c r="B8" s="490" t="s">
        <v>99</v>
      </c>
      <c r="C8" s="492" t="s">
        <v>98</v>
      </c>
      <c r="D8" s="9" t="s">
        <v>67</v>
      </c>
      <c r="E8" s="10">
        <f t="shared" ref="E8:E16" si="0">+H8+K8+N8</f>
        <v>281208490</v>
      </c>
      <c r="F8" s="11">
        <f t="shared" ref="F8:F16" si="1">+I8+L8+O8</f>
        <v>0</v>
      </c>
      <c r="G8" s="12">
        <f t="shared" ref="G8:G16" si="2">SUM(E8:F8)</f>
        <v>281208490</v>
      </c>
      <c r="H8" s="13">
        <f>+'III.- PRESUPUESTO FINAL'!G7</f>
        <v>252416312</v>
      </c>
      <c r="I8" s="14"/>
      <c r="J8" s="15">
        <f t="shared" ref="J8:J13" si="3">SUM(H8:I8)</f>
        <v>252416312</v>
      </c>
      <c r="K8" s="13">
        <f>+'III.- PRESUPUESTO FINAL'!H7</f>
        <v>28792178</v>
      </c>
      <c r="L8" s="16"/>
      <c r="M8" s="17">
        <f t="shared" ref="M8:M16" si="4">SUM(K8:L8)</f>
        <v>28792178</v>
      </c>
      <c r="N8" s="18"/>
      <c r="O8" s="19"/>
      <c r="P8" s="20"/>
      <c r="Q8" s="4"/>
      <c r="S8" s="21"/>
    </row>
    <row r="9" spans="1:19" ht="38" customHeight="1" x14ac:dyDescent="0.2">
      <c r="A9" s="3"/>
      <c r="B9" s="491"/>
      <c r="C9" s="482"/>
      <c r="D9" s="22" t="s">
        <v>32</v>
      </c>
      <c r="E9" s="23">
        <f t="shared" si="0"/>
        <v>12713288</v>
      </c>
      <c r="F9" s="24">
        <f t="shared" si="1"/>
        <v>0</v>
      </c>
      <c r="G9" s="25">
        <f t="shared" si="2"/>
        <v>12713288</v>
      </c>
      <c r="H9" s="26">
        <f>+'III.- PRESUPUESTO FINAL'!G8</f>
        <v>12713288</v>
      </c>
      <c r="I9" s="27"/>
      <c r="J9" s="28">
        <f t="shared" si="3"/>
        <v>12713288</v>
      </c>
      <c r="K9" s="26">
        <f>+'III.- PRESUPUESTO FINAL'!H8</f>
        <v>0</v>
      </c>
      <c r="L9" s="29"/>
      <c r="M9" s="30">
        <f t="shared" si="4"/>
        <v>0</v>
      </c>
      <c r="N9" s="31"/>
      <c r="O9" s="32"/>
      <c r="P9" s="33"/>
      <c r="Q9" s="4"/>
      <c r="S9" s="21"/>
    </row>
    <row r="10" spans="1:19" ht="38" customHeight="1" x14ac:dyDescent="0.2">
      <c r="A10" s="3"/>
      <c r="B10" s="491" t="s">
        <v>100</v>
      </c>
      <c r="C10" s="482" t="s">
        <v>101</v>
      </c>
      <c r="D10" s="22" t="s">
        <v>55</v>
      </c>
      <c r="E10" s="34">
        <f t="shared" si="0"/>
        <v>83600521</v>
      </c>
      <c r="F10" s="35">
        <f t="shared" si="1"/>
        <v>0</v>
      </c>
      <c r="G10" s="36">
        <f t="shared" si="2"/>
        <v>83600521</v>
      </c>
      <c r="H10" s="26">
        <f>+'III.- PRESUPUESTO FINAL'!G9</f>
        <v>83600521</v>
      </c>
      <c r="I10" s="37"/>
      <c r="J10" s="38">
        <f t="shared" si="3"/>
        <v>83600521</v>
      </c>
      <c r="K10" s="39">
        <f>+'III.- PRESUPUESTO FINAL'!H9</f>
        <v>0</v>
      </c>
      <c r="L10" s="40"/>
      <c r="M10" s="41">
        <f t="shared" si="4"/>
        <v>0</v>
      </c>
      <c r="N10" s="31"/>
      <c r="O10" s="32"/>
      <c r="P10" s="33"/>
      <c r="Q10" s="4"/>
      <c r="S10" s="42"/>
    </row>
    <row r="11" spans="1:19" ht="38" customHeight="1" x14ac:dyDescent="0.2">
      <c r="A11" s="3"/>
      <c r="B11" s="491"/>
      <c r="C11" s="482"/>
      <c r="D11" s="22" t="s">
        <v>71</v>
      </c>
      <c r="E11" s="34">
        <f t="shared" si="0"/>
        <v>2000000</v>
      </c>
      <c r="F11" s="35">
        <f t="shared" si="1"/>
        <v>0</v>
      </c>
      <c r="G11" s="36">
        <f t="shared" si="2"/>
        <v>2000000</v>
      </c>
      <c r="H11" s="26">
        <f>+'III.- PRESUPUESTO FINAL'!G10</f>
        <v>2000000</v>
      </c>
      <c r="I11" s="37"/>
      <c r="J11" s="38">
        <f t="shared" si="3"/>
        <v>2000000</v>
      </c>
      <c r="K11" s="39">
        <f>+'III.- PRESUPUESTO FINAL'!H10</f>
        <v>0</v>
      </c>
      <c r="L11" s="40"/>
      <c r="M11" s="41">
        <f t="shared" si="4"/>
        <v>0</v>
      </c>
      <c r="N11" s="43">
        <f>+'III.- PRESUPUESTO FINAL'!I10</f>
        <v>0</v>
      </c>
      <c r="O11" s="40"/>
      <c r="P11" s="41">
        <f t="shared" ref="P11:P16" si="5">SUM(N11:O11)</f>
        <v>0</v>
      </c>
      <c r="Q11" s="4"/>
    </row>
    <row r="12" spans="1:19" ht="38" customHeight="1" x14ac:dyDescent="0.2">
      <c r="A12" s="3"/>
      <c r="B12" s="491"/>
      <c r="C12" s="482"/>
      <c r="D12" s="22" t="s">
        <v>56</v>
      </c>
      <c r="E12" s="34">
        <f t="shared" si="0"/>
        <v>600000</v>
      </c>
      <c r="F12" s="35">
        <f t="shared" si="1"/>
        <v>0</v>
      </c>
      <c r="G12" s="36">
        <f t="shared" si="2"/>
        <v>600000</v>
      </c>
      <c r="H12" s="26">
        <f>+'III.- PRESUPUESTO FINAL'!G11</f>
        <v>500000</v>
      </c>
      <c r="I12" s="37"/>
      <c r="J12" s="38">
        <f t="shared" si="3"/>
        <v>500000</v>
      </c>
      <c r="K12" s="39">
        <f>+'III.- PRESUPUESTO FINAL'!H11</f>
        <v>100000</v>
      </c>
      <c r="L12" s="40"/>
      <c r="M12" s="41">
        <f t="shared" si="4"/>
        <v>100000</v>
      </c>
      <c r="N12" s="43">
        <f>+'III.- PRESUPUESTO FINAL'!I11</f>
        <v>0</v>
      </c>
      <c r="O12" s="40"/>
      <c r="P12" s="41">
        <f t="shared" si="5"/>
        <v>0</v>
      </c>
      <c r="Q12" s="4"/>
      <c r="R12" s="485" t="str">
        <f>IF(H12="","No puede tener celdas vacías",IF(H13="","No puede tener celdas vacías",IF(K12="","No puede tener celdas vacías",IF(K13="","No puede tener celdas vacías",IF(P11="","No puede tener celdas vacías",IF(P12="","No puede tener celdas vacías",IF(P13="","No puede tener celdas vacías","")))))))</f>
        <v/>
      </c>
      <c r="S12" s="485"/>
    </row>
    <row r="13" spans="1:19" ht="38" customHeight="1" x14ac:dyDescent="0.2">
      <c r="A13" s="3"/>
      <c r="B13" s="491"/>
      <c r="C13" s="482"/>
      <c r="D13" s="22" t="s">
        <v>57</v>
      </c>
      <c r="E13" s="44">
        <f t="shared" si="0"/>
        <v>9500000</v>
      </c>
      <c r="F13" s="86">
        <f t="shared" si="1"/>
        <v>0</v>
      </c>
      <c r="G13" s="45">
        <f>IF(SUM(E13:F13)=0,"Este Sub-ítem debe tener Presupuesto",SUM(E13:F13))</f>
        <v>9500000</v>
      </c>
      <c r="H13" s="26">
        <f>+'III.- PRESUPUESTO FINAL'!G12</f>
        <v>9500000</v>
      </c>
      <c r="I13" s="37"/>
      <c r="J13" s="38">
        <f t="shared" si="3"/>
        <v>9500000</v>
      </c>
      <c r="K13" s="39">
        <f>+'III.- PRESUPUESTO FINAL'!H12</f>
        <v>0</v>
      </c>
      <c r="L13" s="40"/>
      <c r="M13" s="41">
        <f t="shared" si="4"/>
        <v>0</v>
      </c>
      <c r="N13" s="43">
        <f>+'III.- PRESUPUESTO FINAL'!I12</f>
        <v>0</v>
      </c>
      <c r="O13" s="40"/>
      <c r="P13" s="41">
        <f t="shared" si="5"/>
        <v>0</v>
      </c>
      <c r="Q13" s="4"/>
      <c r="R13" s="485"/>
      <c r="S13" s="485"/>
    </row>
    <row r="14" spans="1:19" ht="38" customHeight="1" x14ac:dyDescent="0.2">
      <c r="A14" s="3"/>
      <c r="B14" s="479" t="s">
        <v>103</v>
      </c>
      <c r="C14" s="482" t="s">
        <v>104</v>
      </c>
      <c r="D14" s="22" t="s">
        <v>58</v>
      </c>
      <c r="E14" s="46">
        <f t="shared" si="0"/>
        <v>3110000</v>
      </c>
      <c r="F14" s="47">
        <f t="shared" si="1"/>
        <v>0</v>
      </c>
      <c r="G14" s="48">
        <f t="shared" si="2"/>
        <v>3110000</v>
      </c>
      <c r="H14" s="49"/>
      <c r="I14" s="50"/>
      <c r="J14" s="51"/>
      <c r="K14" s="39">
        <f>+'III.- PRESUPUESTO FINAL'!H13</f>
        <v>500000</v>
      </c>
      <c r="L14" s="40"/>
      <c r="M14" s="41">
        <f t="shared" si="4"/>
        <v>500000</v>
      </c>
      <c r="N14" s="43">
        <f>+'III.- PRESUPUESTO FINAL'!I13</f>
        <v>2610000</v>
      </c>
      <c r="O14" s="40"/>
      <c r="P14" s="41">
        <f t="shared" si="5"/>
        <v>2610000</v>
      </c>
      <c r="Q14" s="4"/>
      <c r="R14" s="485" t="str">
        <f>IF(K14="","No puede tener celdas vacías",IF(K16="","No puede tener celdas vacías",IF(P14="","No puede tener celdas vacías",IF(P16="","No puede tener celdas vacías",""))))</f>
        <v/>
      </c>
      <c r="S14" s="485"/>
    </row>
    <row r="15" spans="1:19" ht="38" customHeight="1" x14ac:dyDescent="0.2">
      <c r="A15" s="3"/>
      <c r="B15" s="480"/>
      <c r="C15" s="483"/>
      <c r="D15" s="22" t="s">
        <v>74</v>
      </c>
      <c r="E15" s="34">
        <f t="shared" ref="E15" si="6">+H15+K15+N15</f>
        <v>126209000</v>
      </c>
      <c r="F15" s="35">
        <f t="shared" ref="F15" si="7">+I15+L15+O15</f>
        <v>0</v>
      </c>
      <c r="G15" s="36">
        <f t="shared" ref="G15" si="8">SUM(E15:F15)</f>
        <v>126209000</v>
      </c>
      <c r="H15" s="87"/>
      <c r="I15" s="88"/>
      <c r="J15" s="89"/>
      <c r="K15" s="39">
        <f>+'III.- PRESUPUESTO FINAL'!H14</f>
        <v>18000000</v>
      </c>
      <c r="L15" s="40"/>
      <c r="M15" s="41">
        <f t="shared" ref="M15" si="9">SUM(K15:L15)</f>
        <v>18000000</v>
      </c>
      <c r="N15" s="43">
        <f>+'III.- PRESUPUESTO FINAL'!I14</f>
        <v>108209000</v>
      </c>
      <c r="O15" s="40"/>
      <c r="P15" s="41">
        <f t="shared" si="5"/>
        <v>108209000</v>
      </c>
      <c r="Q15" s="4"/>
      <c r="R15" s="485"/>
      <c r="S15" s="485"/>
    </row>
    <row r="16" spans="1:19" ht="38" customHeight="1" thickBot="1" x14ac:dyDescent="0.25">
      <c r="A16" s="3"/>
      <c r="B16" s="481"/>
      <c r="C16" s="484"/>
      <c r="D16" s="58" t="s">
        <v>105</v>
      </c>
      <c r="E16" s="52">
        <f t="shared" si="0"/>
        <v>6750000</v>
      </c>
      <c r="F16" s="53">
        <f t="shared" si="1"/>
        <v>0</v>
      </c>
      <c r="G16" s="54">
        <f t="shared" si="2"/>
        <v>6750000</v>
      </c>
      <c r="H16" s="59"/>
      <c r="I16" s="60"/>
      <c r="J16" s="61"/>
      <c r="K16" s="62">
        <f>+'III.- PRESUPUESTO FINAL'!H15</f>
        <v>0</v>
      </c>
      <c r="L16" s="63"/>
      <c r="M16" s="64">
        <f t="shared" si="4"/>
        <v>0</v>
      </c>
      <c r="N16" s="65">
        <f>+'III.- PRESUPUESTO FINAL'!I15</f>
        <v>6750000</v>
      </c>
      <c r="O16" s="63"/>
      <c r="P16" s="64">
        <f t="shared" si="5"/>
        <v>6750000</v>
      </c>
      <c r="Q16" s="4"/>
      <c r="R16" s="485"/>
      <c r="S16" s="485"/>
    </row>
    <row r="17" spans="1:17" ht="38" customHeight="1" thickBot="1" x14ac:dyDescent="0.25">
      <c r="A17" s="1"/>
      <c r="B17" s="486"/>
      <c r="C17" s="487"/>
      <c r="D17" s="66" t="s">
        <v>77</v>
      </c>
      <c r="E17" s="67">
        <f t="shared" ref="E17:P17" si="10">SUM(E8:E16)</f>
        <v>525691299</v>
      </c>
      <c r="F17" s="68">
        <f t="shared" si="10"/>
        <v>0</v>
      </c>
      <c r="G17" s="69">
        <f t="shared" si="10"/>
        <v>525691299</v>
      </c>
      <c r="H17" s="67">
        <f t="shared" si="10"/>
        <v>360730121</v>
      </c>
      <c r="I17" s="68">
        <f t="shared" si="10"/>
        <v>0</v>
      </c>
      <c r="J17" s="69">
        <f t="shared" si="10"/>
        <v>360730121</v>
      </c>
      <c r="K17" s="67">
        <f t="shared" si="10"/>
        <v>47392178</v>
      </c>
      <c r="L17" s="70">
        <f t="shared" si="10"/>
        <v>0</v>
      </c>
      <c r="M17" s="69">
        <f t="shared" si="10"/>
        <v>47392178</v>
      </c>
      <c r="N17" s="71">
        <f t="shared" si="10"/>
        <v>117569000</v>
      </c>
      <c r="O17" s="70">
        <f t="shared" si="10"/>
        <v>0</v>
      </c>
      <c r="P17" s="69">
        <f t="shared" si="10"/>
        <v>117569000</v>
      </c>
      <c r="Q17" s="4"/>
    </row>
    <row r="18" spans="1:17" x14ac:dyDescent="0.2">
      <c r="A18" s="1"/>
      <c r="B18" s="1"/>
      <c r="C18" s="1"/>
      <c r="D18" s="72"/>
      <c r="E18" s="1"/>
      <c r="F18" s="1"/>
      <c r="G18" s="1"/>
      <c r="H18" s="73"/>
      <c r="I18" s="73"/>
      <c r="J18" s="73"/>
      <c r="K18" s="73"/>
      <c r="L18" s="73"/>
      <c r="M18" s="73"/>
      <c r="N18" s="73"/>
      <c r="O18" s="73"/>
      <c r="P18" s="1"/>
      <c r="Q18" s="1"/>
    </row>
    <row r="20" spans="1:17" ht="31.25" customHeight="1" x14ac:dyDescent="0.2">
      <c r="J20" s="90" t="str">
        <f>UPPER(J7)</f>
        <v>PRESUPUESTO MODIFICADO</v>
      </c>
    </row>
    <row r="21" spans="1:17" ht="22.25" customHeight="1" x14ac:dyDescent="0.2">
      <c r="H21" s="75" t="s">
        <v>78</v>
      </c>
      <c r="I21" s="76"/>
      <c r="J21" s="77">
        <f>SUM($J$8:$J$9)</f>
        <v>265129600</v>
      </c>
    </row>
    <row r="22" spans="1:17" ht="22.25" customHeight="1" x14ac:dyDescent="0.2">
      <c r="H22" s="75" t="s">
        <v>83</v>
      </c>
      <c r="I22" s="76"/>
      <c r="J22" s="77">
        <f>SUM($J$10:$J$13)</f>
        <v>95600521</v>
      </c>
    </row>
    <row r="23" spans="1:17" ht="22.25" customHeight="1" x14ac:dyDescent="0.2">
      <c r="H23" s="76" t="s">
        <v>84</v>
      </c>
      <c r="I23" s="76"/>
      <c r="J23" s="78">
        <f>+IF(J21&gt;0,J22/J21,0)</f>
        <v>0.36058033882297563</v>
      </c>
    </row>
    <row r="26" spans="1:17" s="79" customFormat="1" ht="22.25" customHeight="1" x14ac:dyDescent="0.2">
      <c r="E26" s="91"/>
      <c r="G26" s="2"/>
      <c r="H26" s="75" t="s">
        <v>78</v>
      </c>
      <c r="I26" s="76"/>
      <c r="J26" s="77">
        <f>SUM($G$8:$G$9)</f>
        <v>293921778</v>
      </c>
    </row>
    <row r="27" spans="1:17" s="79" customFormat="1" ht="22.25" customHeight="1" x14ac:dyDescent="0.2">
      <c r="E27" s="91"/>
      <c r="G27" s="2"/>
      <c r="H27" s="465" t="s">
        <v>131</v>
      </c>
      <c r="I27" s="466"/>
      <c r="J27" s="77">
        <f>SUM($M$8:$M$10)+SUM($M$12:$M$14)</f>
        <v>29392178</v>
      </c>
      <c r="K27" s="78">
        <f>+IF($J$26&gt;0,J27/$J$26,0)</f>
        <v>0.10000000068045316</v>
      </c>
      <c r="L27" s="79" t="str">
        <f>IF(K27&lt;10%,"El Mínimo debe ser 10%","OK")</f>
        <v>OK</v>
      </c>
    </row>
    <row r="28" spans="1:17" s="79" customFormat="1" ht="22.25" customHeight="1" x14ac:dyDescent="0.2">
      <c r="G28" s="2"/>
      <c r="H28" s="75" t="s">
        <v>132</v>
      </c>
      <c r="I28" s="76"/>
      <c r="J28" s="77">
        <f>+M17</f>
        <v>47392178</v>
      </c>
      <c r="K28" s="78">
        <f>+IF($J$26&gt;0,J28/$J$26,0)</f>
        <v>0.16124078427424321</v>
      </c>
    </row>
    <row r="29" spans="1:17" s="79" customFormat="1" ht="22.25" customHeight="1" x14ac:dyDescent="0.2">
      <c r="E29" s="91"/>
      <c r="G29" s="2"/>
      <c r="H29" s="75" t="s">
        <v>133</v>
      </c>
      <c r="I29" s="76"/>
      <c r="J29" s="77">
        <f>+P17</f>
        <v>117569000</v>
      </c>
      <c r="K29" s="78">
        <f>+IF($J$26&gt;0,J29/$J$26,0)</f>
        <v>0.40000098257435013</v>
      </c>
    </row>
    <row r="30" spans="1:17" s="79" customFormat="1" ht="22.25" customHeight="1" x14ac:dyDescent="0.2">
      <c r="E30" s="91"/>
      <c r="G30" s="2"/>
      <c r="H30" s="80" t="s">
        <v>134</v>
      </c>
      <c r="I30" s="81"/>
      <c r="J30" s="77">
        <f>SUM(J28:J29)</f>
        <v>164961178</v>
      </c>
      <c r="K30" s="78">
        <f>+IF($J$26&gt;0,J30/$J$26,0)</f>
        <v>0.56124176684859328</v>
      </c>
      <c r="L30" s="79" t="str">
        <f>IF(K30&lt;50%,"El Mínimo debe ser 50%","OK")</f>
        <v>OK</v>
      </c>
    </row>
  </sheetData>
  <sheetProtection algorithmName="SHA-512" hashValue="sh7KqjTP8sREvVQETvOSGzraQlj2O1frYSNa9rvSkCC9OmMB8S5Ao48S75UJfeb3LhTF6S97T6HGKTnv6ZVxGw==" saltValue="aNIfz+1SLzLBN/GymbZYPw==" spinCount="100000" sheet="1" selectLockedCells="1"/>
  <mergeCells count="18">
    <mergeCell ref="R14:S16"/>
    <mergeCell ref="B17:C17"/>
    <mergeCell ref="B7:C7"/>
    <mergeCell ref="B8:B9"/>
    <mergeCell ref="C8:C9"/>
    <mergeCell ref="B10:B13"/>
    <mergeCell ref="C10:C13"/>
    <mergeCell ref="R12:S13"/>
    <mergeCell ref="H27:I27"/>
    <mergeCell ref="B2:P2"/>
    <mergeCell ref="B3:P3"/>
    <mergeCell ref="B4:P4"/>
    <mergeCell ref="B6:D6"/>
    <mergeCell ref="E6:G6"/>
    <mergeCell ref="H6:J6"/>
    <mergeCell ref="K6:P6"/>
    <mergeCell ref="B14:B16"/>
    <mergeCell ref="C14:C16"/>
  </mergeCells>
  <conditionalFormatting sqref="E13">
    <cfRule type="containsText" dxfId="46" priority="35" operator="containsText" text="Este Sub Item">
      <formula>NOT(ISERROR(SEARCH("Este Sub Item",E13)))</formula>
    </cfRule>
    <cfRule type="containsText" dxfId="45" priority="36" operator="containsText" text="Este Item debe">
      <formula>NOT(ISERROR(SEARCH("Este Item debe",E13)))</formula>
    </cfRule>
  </conditionalFormatting>
  <conditionalFormatting sqref="E8:G9">
    <cfRule type="containsText" dxfId="44" priority="16" operator="containsText" text="Monto Excede">
      <formula>NOT(ISERROR(SEARCH("Monto Excede",E8)))</formula>
    </cfRule>
    <cfRule type="containsText" dxfId="43" priority="17" operator="containsText" text="M$50.000">
      <formula>NOT(ISERROR(SEARCH("M$50.000",E8)))</formula>
    </cfRule>
  </conditionalFormatting>
  <conditionalFormatting sqref="F13:G13">
    <cfRule type="containsText" dxfId="42" priority="18" operator="containsText" text="Este Sub-ítem">
      <formula>NOT(ISERROR(SEARCH("Este Sub-ítem",F13)))</formula>
    </cfRule>
  </conditionalFormatting>
  <conditionalFormatting sqref="H17:J17">
    <cfRule type="cellIs" dxfId="41" priority="1" operator="greaterThan">
      <formula>400000000</formula>
    </cfRule>
  </conditionalFormatting>
  <conditionalFormatting sqref="J23">
    <cfRule type="cellIs" dxfId="40" priority="14" stopIfTrue="1" operator="greaterThan">
      <formula>0.5</formula>
    </cfRule>
  </conditionalFormatting>
  <conditionalFormatting sqref="K27">
    <cfRule type="cellIs" dxfId="39" priority="5" stopIfTrue="1" operator="lessThan">
      <formula>0.1</formula>
    </cfRule>
  </conditionalFormatting>
  <conditionalFormatting sqref="K30">
    <cfRule type="cellIs" dxfId="38" priority="4" stopIfTrue="1" operator="lessThan">
      <formula>0.5</formula>
    </cfRule>
  </conditionalFormatting>
  <conditionalFormatting sqref="L27">
    <cfRule type="containsText" dxfId="37" priority="3" stopIfTrue="1" operator="containsText" text="El Mínimo debe ser 10%">
      <formula>NOT(ISERROR(SEARCH("El Mínimo debe ser 10%",L27)))</formula>
    </cfRule>
  </conditionalFormatting>
  <conditionalFormatting sqref="L30">
    <cfRule type="containsText" dxfId="36" priority="7" stopIfTrue="1" operator="containsText" text="El Mínimo debe ser 50%">
      <formula>NOT(ISERROR(SEARCH("El Mínimo debe ser 50%",L30)))</formula>
    </cfRule>
    <cfRule type="containsText" dxfId="35" priority="8" stopIfTrue="1" operator="containsText" text="El mímo debe ser 50%">
      <formula>NOT(ISERROR(SEARCH("El mímo debe ser 50%",L30)))</formula>
    </cfRule>
  </conditionalFormatting>
  <conditionalFormatting sqref="R12">
    <cfRule type="containsText" dxfId="34" priority="25" stopIfTrue="1" operator="containsText" text="Monto Item Equipamiento OK">
      <formula>NOT(ISERROR(SEARCH("Monto Item Equipamiento OK",R12)))</formula>
    </cfRule>
    <cfRule type="containsText" dxfId="33" priority="26" operator="containsText" text="$50.000.000">
      <formula>NOT(ISERROR(SEARCH("$50.000.000",R12)))</formula>
    </cfRule>
    <cfRule type="containsText" dxfId="32" priority="27" operator="containsText" text="Excede">
      <formula>NOT(ISERROR(SEARCH("Excede",R12)))</formula>
    </cfRule>
    <cfRule type="containsText" dxfId="31" priority="28" operator="containsText" text="M$50.000">
      <formula>NOT(ISERROR(SEARCH("M$50.000",R12)))</formula>
    </cfRule>
  </conditionalFormatting>
  <conditionalFormatting sqref="R14">
    <cfRule type="containsText" dxfId="30" priority="29" operator="containsText" text="$50.000.000">
      <formula>NOT(ISERROR(SEARCH("$50.000.000",R14)))</formula>
    </cfRule>
    <cfRule type="containsText" dxfId="29" priority="30" operator="containsText" text="Excede">
      <formula>NOT(ISERROR(SEARCH("Excede",R14)))</formula>
    </cfRule>
    <cfRule type="containsText" dxfId="28" priority="31" operator="containsText" text="M$50.000">
      <formula>NOT(ISERROR(SEARCH("M$50.000",R14)))</formula>
    </cfRule>
    <cfRule type="containsText" dxfId="27" priority="32" stopIfTrue="1" operator="containsText" text="Monto Item Equipamiento OK">
      <formula>NOT(ISERROR(SEARCH("Monto Item Equipamiento OK",R14)))</formula>
    </cfRule>
  </conditionalFormatting>
  <conditionalFormatting sqref="R12:S13">
    <cfRule type="containsText" dxfId="26" priority="24" stopIfTrue="1" operator="containsText" text="No puede tener">
      <formula>NOT(ISERROR(SEARCH("No puede tener",R12)))</formula>
    </cfRule>
  </conditionalFormatting>
  <conditionalFormatting sqref="R14:S16">
    <cfRule type="containsText" dxfId="25" priority="2" stopIfTrue="1" operator="containsText" text="No puede tener">
      <formula>NOT(ISERROR(SEARCH("No puede tener",R14)))</formula>
    </cfRule>
  </conditionalFormatting>
  <printOptions horizontalCentered="1"/>
  <pageMargins left="0" right="0" top="0.78740157480314965" bottom="0.78740157480314965" header="0" footer="0.59055118110236227"/>
  <pageSetup paperSize="5" scale="70" orientation="landscape" r:id="rId1"/>
  <headerFooter alignWithMargins="0">
    <oddFooter>&amp;L&amp;A - &amp;F
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5">
    <tabColor rgb="FF002060"/>
  </sheetPr>
  <dimension ref="A1:U29"/>
  <sheetViews>
    <sheetView showGridLines="0" topLeftCell="A2" zoomScale="90" zoomScaleNormal="90" workbookViewId="0">
      <pane xSplit="4" ySplit="6" topLeftCell="E8" activePane="bottomRight" state="frozen"/>
      <selection pane="topRight" activeCell="E2" sqref="E2"/>
      <selection pane="bottomLeft" activeCell="A8" sqref="A8"/>
      <selection pane="bottomRight" activeCell="I9" sqref="I9"/>
    </sheetView>
  </sheetViews>
  <sheetFormatPr baseColWidth="10" defaultColWidth="11.5" defaultRowHeight="12" x14ac:dyDescent="0.2"/>
  <cols>
    <col min="1" max="1" width="3" style="2" customWidth="1"/>
    <col min="2" max="2" width="3.83203125" style="2" customWidth="1"/>
    <col min="3" max="3" width="13.83203125" style="2" customWidth="1"/>
    <col min="4" max="4" width="32.6640625" style="2" customWidth="1"/>
    <col min="5" max="16" width="15.5" style="2" customWidth="1"/>
    <col min="17" max="17" width="3.5" style="2" customWidth="1"/>
    <col min="18" max="18" width="12.6640625" style="2" customWidth="1"/>
    <col min="19" max="19" width="17.5" style="2" customWidth="1"/>
    <col min="20" max="20" width="20.5" style="2" customWidth="1"/>
    <col min="21" max="21" width="16.5" style="2" hidden="1" customWidth="1"/>
    <col min="22" max="22" width="9.5" style="2" customWidth="1"/>
    <col min="23" max="16384" width="11.5" style="2"/>
  </cols>
  <sheetData>
    <row r="1" spans="1:19" ht="9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9" s="84" customFormat="1" ht="28.5" customHeight="1" x14ac:dyDescent="0.2">
      <c r="A2" s="83"/>
      <c r="B2" s="467" t="s">
        <v>135</v>
      </c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83"/>
    </row>
    <row r="3" spans="1:19" hidden="1" x14ac:dyDescent="0.2">
      <c r="A3" s="1"/>
      <c r="B3" s="468"/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1"/>
    </row>
    <row r="4" spans="1:19" ht="9" customHeight="1" thickBot="1" x14ac:dyDescent="0.25">
      <c r="A4" s="1"/>
      <c r="B4" s="469"/>
      <c r="C4" s="470"/>
      <c r="D4" s="470"/>
      <c r="E4" s="470"/>
      <c r="F4" s="470"/>
      <c r="G4" s="470"/>
      <c r="H4" s="470"/>
      <c r="I4" s="470"/>
      <c r="J4" s="470"/>
      <c r="K4" s="470"/>
      <c r="L4" s="470"/>
      <c r="M4" s="470"/>
      <c r="N4" s="470"/>
      <c r="O4" s="470"/>
      <c r="P4" s="470"/>
      <c r="Q4" s="1"/>
    </row>
    <row r="5" spans="1:19" ht="13.5" hidden="1" customHeight="1" thickBo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3"/>
      <c r="Q5" s="1"/>
    </row>
    <row r="6" spans="1:19" ht="25.5" customHeight="1" thickBot="1" x14ac:dyDescent="0.25">
      <c r="A6" s="1"/>
      <c r="B6" s="471" t="s">
        <v>122</v>
      </c>
      <c r="C6" s="471"/>
      <c r="D6" s="472"/>
      <c r="E6" s="473" t="s">
        <v>115</v>
      </c>
      <c r="F6" s="474"/>
      <c r="G6" s="475"/>
      <c r="H6" s="473" t="s">
        <v>136</v>
      </c>
      <c r="I6" s="474"/>
      <c r="J6" s="475"/>
      <c r="K6" s="476" t="s">
        <v>110</v>
      </c>
      <c r="L6" s="477"/>
      <c r="M6" s="477"/>
      <c r="N6" s="477"/>
      <c r="O6" s="477"/>
      <c r="P6" s="478"/>
      <c r="Q6" s="4"/>
    </row>
    <row r="7" spans="1:19" ht="38" customHeight="1" thickBot="1" x14ac:dyDescent="0.25">
      <c r="A7" s="3"/>
      <c r="B7" s="488" t="s">
        <v>94</v>
      </c>
      <c r="C7" s="489"/>
      <c r="D7" s="5" t="s">
        <v>95</v>
      </c>
      <c r="E7" s="6" t="s">
        <v>126</v>
      </c>
      <c r="F7" s="7" t="s">
        <v>137</v>
      </c>
      <c r="G7" s="8" t="s">
        <v>138</v>
      </c>
      <c r="H7" s="6" t="s">
        <v>126</v>
      </c>
      <c r="I7" s="7" t="s">
        <v>137</v>
      </c>
      <c r="J7" s="8" t="s">
        <v>138</v>
      </c>
      <c r="K7" s="6" t="s">
        <v>128</v>
      </c>
      <c r="L7" s="7" t="s">
        <v>137</v>
      </c>
      <c r="M7" s="8" t="s">
        <v>138</v>
      </c>
      <c r="N7" s="6" t="s">
        <v>130</v>
      </c>
      <c r="O7" s="5" t="s">
        <v>137</v>
      </c>
      <c r="P7" s="8" t="s">
        <v>138</v>
      </c>
      <c r="Q7" s="4"/>
    </row>
    <row r="8" spans="1:19" ht="38" customHeight="1" x14ac:dyDescent="0.2">
      <c r="A8" s="3"/>
      <c r="B8" s="490" t="s">
        <v>99</v>
      </c>
      <c r="C8" s="492" t="s">
        <v>98</v>
      </c>
      <c r="D8" s="9" t="s">
        <v>67</v>
      </c>
      <c r="E8" s="10">
        <f t="shared" ref="E8:E16" si="0">+H8+K8+N8</f>
        <v>281208490</v>
      </c>
      <c r="F8" s="11">
        <f t="shared" ref="F8:F16" si="1">+I8+L8+O8</f>
        <v>0</v>
      </c>
      <c r="G8" s="12">
        <f t="shared" ref="G8:G16" si="2">+J8+M8+P8</f>
        <v>281208490</v>
      </c>
      <c r="H8" s="13">
        <f>+'PRESUPUESTO MODIFICADO'!J8</f>
        <v>252416312</v>
      </c>
      <c r="I8" s="14">
        <f>SUMIF('USO INT. DESGLOSE FACTURAS'!$A$4:$A$10,'SALDOS '!$D8,'USO INT. DESGLOSE FACTURAS'!$S$4:$S$10)</f>
        <v>0</v>
      </c>
      <c r="J8" s="15">
        <f t="shared" ref="J8:J13" si="3">+H8-I8</f>
        <v>252416312</v>
      </c>
      <c r="K8" s="13">
        <f>+'PRESUPUESTO MODIFICADO'!M8</f>
        <v>28792178</v>
      </c>
      <c r="L8" s="14">
        <f>SUMIF('USO INT. DESGLOSE FACTURAS'!$A$4:$A$10,'SALDOS '!$D8,'USO INT. DESGLOSE FACTURAS'!$T$4:$T$10)</f>
        <v>0</v>
      </c>
      <c r="M8" s="17">
        <f t="shared" ref="M8:M16" si="4">+K8-L8</f>
        <v>28792178</v>
      </c>
      <c r="N8" s="18"/>
      <c r="O8" s="19"/>
      <c r="P8" s="20"/>
      <c r="Q8" s="4"/>
      <c r="S8" s="21"/>
    </row>
    <row r="9" spans="1:19" ht="38" customHeight="1" x14ac:dyDescent="0.2">
      <c r="A9" s="3"/>
      <c r="B9" s="491"/>
      <c r="C9" s="482"/>
      <c r="D9" s="22" t="s">
        <v>32</v>
      </c>
      <c r="E9" s="23">
        <f t="shared" si="0"/>
        <v>12713288</v>
      </c>
      <c r="F9" s="24">
        <f t="shared" si="1"/>
        <v>0</v>
      </c>
      <c r="G9" s="25">
        <f t="shared" si="2"/>
        <v>12713288</v>
      </c>
      <c r="H9" s="26">
        <f>+'PRESUPUESTO MODIFICADO'!J9</f>
        <v>12713288</v>
      </c>
      <c r="I9" s="27">
        <f>SUMIF('USO INT. DESGLOSE FACTURAS'!$A$4:$A$10,'SALDOS '!$D9,'USO INT. DESGLOSE FACTURAS'!$S$4:$S$10)</f>
        <v>0</v>
      </c>
      <c r="J9" s="28">
        <f t="shared" si="3"/>
        <v>12713288</v>
      </c>
      <c r="K9" s="26">
        <f>+'PRESUPUESTO MODIFICADO'!M9</f>
        <v>0</v>
      </c>
      <c r="L9" s="27">
        <f>SUMIF('USO INT. DESGLOSE FACTURAS'!$A$4:$A$10,'SALDOS '!$D9,'USO INT. DESGLOSE FACTURAS'!$T$4:$T$10)</f>
        <v>0</v>
      </c>
      <c r="M9" s="30">
        <f t="shared" si="4"/>
        <v>0</v>
      </c>
      <c r="N9" s="31"/>
      <c r="O9" s="32"/>
      <c r="P9" s="33"/>
      <c r="Q9" s="4"/>
      <c r="S9" s="21"/>
    </row>
    <row r="10" spans="1:19" ht="38" customHeight="1" x14ac:dyDescent="0.2">
      <c r="A10" s="3"/>
      <c r="B10" s="491" t="s">
        <v>100</v>
      </c>
      <c r="C10" s="482" t="s">
        <v>101</v>
      </c>
      <c r="D10" s="22" t="s">
        <v>55</v>
      </c>
      <c r="E10" s="34">
        <f t="shared" si="0"/>
        <v>83600521</v>
      </c>
      <c r="F10" s="35">
        <f t="shared" si="1"/>
        <v>0</v>
      </c>
      <c r="G10" s="36">
        <f t="shared" si="2"/>
        <v>83600521</v>
      </c>
      <c r="H10" s="26">
        <f>+'PRESUPUESTO MODIFICADO'!J10</f>
        <v>83600521</v>
      </c>
      <c r="I10" s="37">
        <f>SUMIF('USO INT. DESGLOSE FACTURAS'!$A$4:$A$10,'SALDOS '!$D10,'USO INT. DESGLOSE FACTURAS'!$S$4:$S$10)</f>
        <v>0</v>
      </c>
      <c r="J10" s="38">
        <f t="shared" si="3"/>
        <v>83600521</v>
      </c>
      <c r="K10" s="39">
        <f>+'PRESUPUESTO MODIFICADO'!M10</f>
        <v>0</v>
      </c>
      <c r="L10" s="37">
        <f>SUMIF('USO INT. DESGLOSE FACTURAS'!$A$4:$A$10,'SALDOS '!$D10,'USO INT. DESGLOSE FACTURAS'!$T$4:$T$10)</f>
        <v>0</v>
      </c>
      <c r="M10" s="41">
        <f t="shared" si="4"/>
        <v>0</v>
      </c>
      <c r="N10" s="31"/>
      <c r="O10" s="32"/>
      <c r="P10" s="33"/>
      <c r="Q10" s="4"/>
      <c r="S10" s="42"/>
    </row>
    <row r="11" spans="1:19" ht="38" customHeight="1" x14ac:dyDescent="0.2">
      <c r="A11" s="3"/>
      <c r="B11" s="491"/>
      <c r="C11" s="482"/>
      <c r="D11" s="22" t="s">
        <v>71</v>
      </c>
      <c r="E11" s="34">
        <f t="shared" si="0"/>
        <v>2000000</v>
      </c>
      <c r="F11" s="35">
        <f t="shared" si="1"/>
        <v>0</v>
      </c>
      <c r="G11" s="36">
        <f t="shared" si="2"/>
        <v>2000000</v>
      </c>
      <c r="H11" s="26">
        <f>+'PRESUPUESTO MODIFICADO'!J11</f>
        <v>2000000</v>
      </c>
      <c r="I11" s="37">
        <f>SUMIF('USO INT. DESGLOSE FACTURAS'!$A$4:$A$10,'SALDOS '!$D11,'USO INT. DESGLOSE FACTURAS'!$S$4:$S$10)</f>
        <v>0</v>
      </c>
      <c r="J11" s="38">
        <f t="shared" si="3"/>
        <v>2000000</v>
      </c>
      <c r="K11" s="39">
        <f>+'PRESUPUESTO MODIFICADO'!M11</f>
        <v>0</v>
      </c>
      <c r="L11" s="37">
        <f>SUMIF('USO INT. DESGLOSE FACTURAS'!$A$4:$A$10,'SALDOS '!$D11,'USO INT. DESGLOSE FACTURAS'!$T$4:$T$10)</f>
        <v>0</v>
      </c>
      <c r="M11" s="41">
        <f t="shared" si="4"/>
        <v>0</v>
      </c>
      <c r="N11" s="43">
        <f>+'PRESUPUESTO MODIFICADO'!P11</f>
        <v>0</v>
      </c>
      <c r="O11" s="40"/>
      <c r="P11" s="41">
        <f t="shared" ref="P11:P16" si="5">+N11-O11</f>
        <v>0</v>
      </c>
      <c r="Q11" s="4"/>
    </row>
    <row r="12" spans="1:19" ht="38" customHeight="1" x14ac:dyDescent="0.2">
      <c r="A12" s="3"/>
      <c r="B12" s="491"/>
      <c r="C12" s="482"/>
      <c r="D12" s="22" t="s">
        <v>56</v>
      </c>
      <c r="E12" s="34">
        <f t="shared" si="0"/>
        <v>600000</v>
      </c>
      <c r="F12" s="35">
        <f t="shared" si="1"/>
        <v>0</v>
      </c>
      <c r="G12" s="36">
        <f t="shared" si="2"/>
        <v>600000</v>
      </c>
      <c r="H12" s="26">
        <f>+'PRESUPUESTO MODIFICADO'!J12</f>
        <v>500000</v>
      </c>
      <c r="I12" s="37">
        <f>SUMIF('USO INT. DESGLOSE FACTURAS'!$A$4:$A$10,'SALDOS '!$D12,'USO INT. DESGLOSE FACTURAS'!$S$4:$S$10)</f>
        <v>0</v>
      </c>
      <c r="J12" s="38">
        <f t="shared" si="3"/>
        <v>500000</v>
      </c>
      <c r="K12" s="39">
        <f>+'PRESUPUESTO MODIFICADO'!M12</f>
        <v>100000</v>
      </c>
      <c r="L12" s="37">
        <f>SUMIF('USO INT. DESGLOSE FACTURAS'!$A$4:$A$10,'SALDOS '!$D12,'USO INT. DESGLOSE FACTURAS'!$T$4:$T$10)</f>
        <v>0</v>
      </c>
      <c r="M12" s="41">
        <f t="shared" si="4"/>
        <v>100000</v>
      </c>
      <c r="N12" s="43">
        <f>+'PRESUPUESTO MODIFICADO'!P12</f>
        <v>0</v>
      </c>
      <c r="O12" s="40"/>
      <c r="P12" s="41">
        <f t="shared" si="5"/>
        <v>0</v>
      </c>
      <c r="Q12" s="4"/>
      <c r="R12" s="485" t="str">
        <f>IF(H12="","No puede tener celdas vacías",IF(H13="","No puede tener celdas vacías",IF(K12="","No puede tener celdas vacías",IF(K13="","No puede tener celdas vacías",IF(P11="","No puede tener celdas vacías",IF(P12="","No puede tener celdas vacías",IF(P13="","No puede tener celdas vacías","")))))))</f>
        <v/>
      </c>
      <c r="S12" s="485"/>
    </row>
    <row r="13" spans="1:19" ht="38" customHeight="1" x14ac:dyDescent="0.2">
      <c r="A13" s="3"/>
      <c r="B13" s="491"/>
      <c r="C13" s="482"/>
      <c r="D13" s="22" t="s">
        <v>57</v>
      </c>
      <c r="E13" s="44">
        <f t="shared" si="0"/>
        <v>9500000</v>
      </c>
      <c r="F13" s="45" t="str">
        <f>IF(SUM(I13+L13+O13)=0,"Este Sub-ítem debe tener Presupuesto",SUM(I13+L13+O13))</f>
        <v>Este Sub-ítem debe tener Presupuesto</v>
      </c>
      <c r="G13" s="45">
        <f>+J13+M13+P13</f>
        <v>9500000</v>
      </c>
      <c r="H13" s="26">
        <f>+'PRESUPUESTO MODIFICADO'!J13</f>
        <v>9500000</v>
      </c>
      <c r="I13" s="37">
        <f>SUMIF('USO INT. DESGLOSE FACTURAS'!$A$4:$A$10,'SALDOS '!$D13,'USO INT. DESGLOSE FACTURAS'!$S$4:$S$10)</f>
        <v>0</v>
      </c>
      <c r="J13" s="38">
        <f t="shared" si="3"/>
        <v>9500000</v>
      </c>
      <c r="K13" s="39">
        <f>+'PRESUPUESTO MODIFICADO'!M13</f>
        <v>0</v>
      </c>
      <c r="L13" s="37">
        <f>SUMIF('USO INT. DESGLOSE FACTURAS'!$A$4:$A$10,'SALDOS '!$D13,'USO INT. DESGLOSE FACTURAS'!$T$4:$T$10)</f>
        <v>0</v>
      </c>
      <c r="M13" s="41">
        <f t="shared" si="4"/>
        <v>0</v>
      </c>
      <c r="N13" s="43">
        <f>+'PRESUPUESTO MODIFICADO'!P13</f>
        <v>0</v>
      </c>
      <c r="O13" s="40"/>
      <c r="P13" s="41">
        <f t="shared" si="5"/>
        <v>0</v>
      </c>
      <c r="Q13" s="4"/>
      <c r="R13" s="485"/>
      <c r="S13" s="485"/>
    </row>
    <row r="14" spans="1:19" ht="38" customHeight="1" x14ac:dyDescent="0.2">
      <c r="A14" s="3"/>
      <c r="B14" s="479" t="s">
        <v>103</v>
      </c>
      <c r="C14" s="482" t="s">
        <v>104</v>
      </c>
      <c r="D14" s="22" t="s">
        <v>58</v>
      </c>
      <c r="E14" s="46">
        <f t="shared" si="0"/>
        <v>3110000</v>
      </c>
      <c r="F14" s="47">
        <f t="shared" si="1"/>
        <v>0</v>
      </c>
      <c r="G14" s="48">
        <f t="shared" si="2"/>
        <v>3110000</v>
      </c>
      <c r="H14" s="49"/>
      <c r="I14" s="50"/>
      <c r="J14" s="51"/>
      <c r="K14" s="39">
        <f>+'PRESUPUESTO MODIFICADO'!M14</f>
        <v>500000</v>
      </c>
      <c r="L14" s="40">
        <f>SUMIF('USO INT. DESGLOSE FACTURAS'!$A$4:$A$10,'SALDOS '!$D14,'USO INT. DESGLOSE FACTURAS'!$T$4:$T$10)</f>
        <v>0</v>
      </c>
      <c r="M14" s="41">
        <f t="shared" si="4"/>
        <v>500000</v>
      </c>
      <c r="N14" s="43">
        <f>+'PRESUPUESTO MODIFICADO'!P14</f>
        <v>2610000</v>
      </c>
      <c r="O14" s="40"/>
      <c r="P14" s="41">
        <f t="shared" si="5"/>
        <v>2610000</v>
      </c>
      <c r="Q14" s="4"/>
      <c r="R14" s="485" t="str">
        <f>IF(K14="","No puede tener celdas vacías",IF(K16="","No puede tener celdas vacías",IF(P14="","No puede tener celdas vacías",IF(P16="","No puede tener celdas vacías",""))))</f>
        <v/>
      </c>
      <c r="S14" s="485"/>
    </row>
    <row r="15" spans="1:19" ht="38" customHeight="1" x14ac:dyDescent="0.2">
      <c r="A15" s="3"/>
      <c r="B15" s="480"/>
      <c r="C15" s="483"/>
      <c r="D15" s="22" t="s">
        <v>74</v>
      </c>
      <c r="E15" s="52">
        <f t="shared" ref="E15" si="6">+H15+K15+N15</f>
        <v>126209000</v>
      </c>
      <c r="F15" s="53">
        <f t="shared" ref="F15" si="7">+I15+L15+O15</f>
        <v>0</v>
      </c>
      <c r="G15" s="54">
        <f t="shared" ref="G15" si="8">+J15+M15+P15</f>
        <v>126209000</v>
      </c>
      <c r="H15" s="55"/>
      <c r="I15" s="56"/>
      <c r="J15" s="57"/>
      <c r="K15" s="39">
        <f>+'PRESUPUESTO MODIFICADO'!M15</f>
        <v>18000000</v>
      </c>
      <c r="L15" s="40">
        <f>SUMIF('USO INT. DESGLOSE FACTURAS'!$A$4:$A$10,'SALDOS '!$D15,'USO INT. DESGLOSE FACTURAS'!$T$4:$T$10)</f>
        <v>0</v>
      </c>
      <c r="M15" s="41">
        <f t="shared" ref="M15" si="9">+K15-L15</f>
        <v>18000000</v>
      </c>
      <c r="N15" s="43">
        <f>+'PRESUPUESTO MODIFICADO'!P15</f>
        <v>108209000</v>
      </c>
      <c r="O15" s="40"/>
      <c r="P15" s="41">
        <f t="shared" si="5"/>
        <v>108209000</v>
      </c>
      <c r="Q15" s="4"/>
      <c r="R15" s="485"/>
      <c r="S15" s="485"/>
    </row>
    <row r="16" spans="1:19" ht="38" customHeight="1" thickBot="1" x14ac:dyDescent="0.25">
      <c r="A16" s="3"/>
      <c r="B16" s="481"/>
      <c r="C16" s="484"/>
      <c r="D16" s="58" t="s">
        <v>105</v>
      </c>
      <c r="E16" s="52">
        <f t="shared" si="0"/>
        <v>6750000</v>
      </c>
      <c r="F16" s="53">
        <f t="shared" si="1"/>
        <v>0</v>
      </c>
      <c r="G16" s="54">
        <f t="shared" si="2"/>
        <v>6750000</v>
      </c>
      <c r="H16" s="59"/>
      <c r="I16" s="60"/>
      <c r="J16" s="61"/>
      <c r="K16" s="62">
        <f>+'PRESUPUESTO MODIFICADO'!M16</f>
        <v>0</v>
      </c>
      <c r="L16" s="63">
        <f>SUMIF('USO INT. DESGLOSE FACTURAS'!$A$4:$A$10,'SALDOS '!$D16,'USO INT. DESGLOSE FACTURAS'!$T$4:$T$10)</f>
        <v>0</v>
      </c>
      <c r="M16" s="64">
        <f t="shared" si="4"/>
        <v>0</v>
      </c>
      <c r="N16" s="65">
        <f>+'PRESUPUESTO MODIFICADO'!P16</f>
        <v>6750000</v>
      </c>
      <c r="O16" s="63"/>
      <c r="P16" s="64">
        <f t="shared" si="5"/>
        <v>6750000</v>
      </c>
      <c r="Q16" s="4"/>
      <c r="R16" s="485"/>
      <c r="S16" s="485"/>
    </row>
    <row r="17" spans="1:17" ht="38" customHeight="1" thickBot="1" x14ac:dyDescent="0.25">
      <c r="A17" s="1"/>
      <c r="B17" s="486"/>
      <c r="C17" s="487"/>
      <c r="D17" s="66" t="s">
        <v>77</v>
      </c>
      <c r="E17" s="67">
        <f t="shared" ref="E17:P17" si="10">SUM(E8:E16)</f>
        <v>525691299</v>
      </c>
      <c r="F17" s="68">
        <f t="shared" si="10"/>
        <v>0</v>
      </c>
      <c r="G17" s="69">
        <f t="shared" si="10"/>
        <v>525691299</v>
      </c>
      <c r="H17" s="67">
        <f t="shared" si="10"/>
        <v>360730121</v>
      </c>
      <c r="I17" s="68">
        <f t="shared" si="10"/>
        <v>0</v>
      </c>
      <c r="J17" s="69">
        <f t="shared" si="10"/>
        <v>360730121</v>
      </c>
      <c r="K17" s="67">
        <f t="shared" si="10"/>
        <v>47392178</v>
      </c>
      <c r="L17" s="70">
        <f t="shared" si="10"/>
        <v>0</v>
      </c>
      <c r="M17" s="69">
        <f t="shared" si="10"/>
        <v>47392178</v>
      </c>
      <c r="N17" s="71">
        <f t="shared" si="10"/>
        <v>117569000</v>
      </c>
      <c r="O17" s="70">
        <f t="shared" si="10"/>
        <v>0</v>
      </c>
      <c r="P17" s="69">
        <f t="shared" si="10"/>
        <v>117569000</v>
      </c>
      <c r="Q17" s="4"/>
    </row>
    <row r="18" spans="1:17" x14ac:dyDescent="0.2">
      <c r="A18" s="1"/>
      <c r="B18" s="1"/>
      <c r="C18" s="1"/>
      <c r="D18" s="72"/>
      <c r="E18" s="1"/>
      <c r="F18" s="1"/>
      <c r="G18" s="1"/>
      <c r="H18" s="73"/>
      <c r="I18" s="73"/>
      <c r="J18" s="73"/>
      <c r="K18" s="73"/>
      <c r="L18" s="73"/>
      <c r="M18" s="73"/>
      <c r="N18" s="73"/>
      <c r="O18" s="73"/>
      <c r="P18" s="1"/>
      <c r="Q18" s="1"/>
    </row>
    <row r="19" spans="1:17" ht="21" customHeight="1" x14ac:dyDescent="0.2">
      <c r="I19" s="74" t="s">
        <v>139</v>
      </c>
    </row>
    <row r="20" spans="1:17" ht="20.5" customHeight="1" x14ac:dyDescent="0.2">
      <c r="G20" s="75" t="s">
        <v>78</v>
      </c>
      <c r="H20" s="76"/>
      <c r="I20" s="77">
        <f>SUM($I$8:$I$9)</f>
        <v>0</v>
      </c>
    </row>
    <row r="21" spans="1:17" ht="20.5" customHeight="1" x14ac:dyDescent="0.2">
      <c r="G21" s="75" t="s">
        <v>83</v>
      </c>
      <c r="H21" s="76"/>
      <c r="I21" s="77">
        <f>SUM($I$10:$I$13)</f>
        <v>0</v>
      </c>
    </row>
    <row r="22" spans="1:17" ht="20.5" customHeight="1" x14ac:dyDescent="0.2">
      <c r="G22" s="76" t="s">
        <v>84</v>
      </c>
      <c r="H22" s="76"/>
      <c r="I22" s="78">
        <f>+IF(I20&gt;0,I21/I20,0)</f>
        <v>0</v>
      </c>
    </row>
    <row r="25" spans="1:17" ht="21" customHeight="1" x14ac:dyDescent="0.2">
      <c r="G25" s="75" t="s">
        <v>78</v>
      </c>
      <c r="H25" s="76"/>
      <c r="I25" s="77">
        <f>SUM($F$8:$F$9)</f>
        <v>0</v>
      </c>
      <c r="K25" s="79"/>
    </row>
    <row r="26" spans="1:17" ht="21" customHeight="1" x14ac:dyDescent="0.2">
      <c r="G26" s="465" t="s">
        <v>140</v>
      </c>
      <c r="H26" s="466"/>
      <c r="I26" s="77">
        <f>SUM($L$8:$L$10)+SUM($L$12:$L$14)</f>
        <v>0</v>
      </c>
      <c r="J26" s="78">
        <f>+IF($I$25&gt;0,I26/$I$25,0)</f>
        <v>0</v>
      </c>
      <c r="K26" s="79" t="str">
        <f>IF(J26&lt;10%,"El Mínimo debe ser 10%","OK")</f>
        <v>El Mínimo debe ser 10%</v>
      </c>
    </row>
    <row r="27" spans="1:17" ht="21" customHeight="1" x14ac:dyDescent="0.2">
      <c r="G27" s="75" t="s">
        <v>132</v>
      </c>
      <c r="H27" s="76"/>
      <c r="I27" s="77">
        <f>+$L$17</f>
        <v>0</v>
      </c>
      <c r="J27" s="78">
        <f>+IF($I$25&gt;0,I27/$I$25,0)</f>
        <v>0</v>
      </c>
      <c r="K27" s="79"/>
    </row>
    <row r="28" spans="1:17" ht="21" customHeight="1" x14ac:dyDescent="0.2">
      <c r="G28" s="75" t="s">
        <v>133</v>
      </c>
      <c r="H28" s="76"/>
      <c r="I28" s="77">
        <f>+$O$17</f>
        <v>0</v>
      </c>
      <c r="J28" s="78">
        <f>+IF($I$25&gt;0,I28/$I$25,0)</f>
        <v>0</v>
      </c>
      <c r="K28" s="79"/>
    </row>
    <row r="29" spans="1:17" ht="21" customHeight="1" x14ac:dyDescent="0.2">
      <c r="G29" s="80" t="s">
        <v>134</v>
      </c>
      <c r="H29" s="81"/>
      <c r="I29" s="77">
        <f>SUM(I27:I28)</f>
        <v>0</v>
      </c>
      <c r="J29" s="78">
        <f>+IF($I$25&gt;0,I29/$I$25,0)</f>
        <v>0</v>
      </c>
      <c r="K29" s="79" t="str">
        <f>IF(J29&lt;50%,"El Mínimo debe ser 50%","OK")</f>
        <v>El Mínimo debe ser 50%</v>
      </c>
    </row>
  </sheetData>
  <sheetProtection algorithmName="SHA-512" hashValue="8vyxUtDN/dMat3UcttdQ5/eDwmLhxjpz5ZDovae/o/CSAC+UxQCHLuXBSXi+9PnHMscmI1XmeLv+55OAw7TKzA==" saltValue="hZVd5iUeQh/DwmnNDogP4Q==" spinCount="100000" sheet="1" selectLockedCells="1"/>
  <mergeCells count="18">
    <mergeCell ref="R12:S13"/>
    <mergeCell ref="B14:B16"/>
    <mergeCell ref="C14:C16"/>
    <mergeCell ref="R14:S16"/>
    <mergeCell ref="B17:C17"/>
    <mergeCell ref="B10:B13"/>
    <mergeCell ref="C10:C13"/>
    <mergeCell ref="B2:P2"/>
    <mergeCell ref="B3:P3"/>
    <mergeCell ref="B4:P4"/>
    <mergeCell ref="B6:D6"/>
    <mergeCell ref="K6:P6"/>
    <mergeCell ref="G26:H26"/>
    <mergeCell ref="B7:C7"/>
    <mergeCell ref="H6:J6"/>
    <mergeCell ref="E6:G6"/>
    <mergeCell ref="B8:B9"/>
    <mergeCell ref="C8:C9"/>
  </mergeCells>
  <conditionalFormatting sqref="E13">
    <cfRule type="containsText" dxfId="24" priority="26" operator="containsText" text="Este Item debe">
      <formula>NOT(ISERROR(SEARCH("Este Item debe",E13)))</formula>
    </cfRule>
    <cfRule type="containsText" dxfId="23" priority="25" operator="containsText" text="Este Sub Item">
      <formula>NOT(ISERROR(SEARCH("Este Sub Item",E13)))</formula>
    </cfRule>
  </conditionalFormatting>
  <conditionalFormatting sqref="E8:G9">
    <cfRule type="containsText" dxfId="22" priority="6" operator="containsText" text="Monto Excede">
      <formula>NOT(ISERROR(SEARCH("Monto Excede",E8)))</formula>
    </cfRule>
    <cfRule type="containsText" dxfId="21" priority="7" operator="containsText" text="M$50.000">
      <formula>NOT(ISERROR(SEARCH("M$50.000",E8)))</formula>
    </cfRule>
  </conditionalFormatting>
  <conditionalFormatting sqref="F13">
    <cfRule type="containsText" dxfId="20" priority="3" operator="containsText" text="Este Sub-ítem">
      <formula>NOT(ISERROR(SEARCH("Este Sub-ítem",F13)))</formula>
    </cfRule>
  </conditionalFormatting>
  <conditionalFormatting sqref="G13">
    <cfRule type="containsText" dxfId="19" priority="8" operator="containsText" text="Este Sub Item">
      <formula>NOT(ISERROR(SEARCH("Este Sub Item",G13)))</formula>
    </cfRule>
    <cfRule type="containsText" dxfId="18" priority="9" operator="containsText" text="Este Item debe">
      <formula>NOT(ISERROR(SEARCH("Este Item debe",G13)))</formula>
    </cfRule>
  </conditionalFormatting>
  <conditionalFormatting sqref="H17:J17">
    <cfRule type="cellIs" dxfId="17" priority="30" operator="greaterThan">
      <formula>400000000</formula>
    </cfRule>
  </conditionalFormatting>
  <conditionalFormatting sqref="I22">
    <cfRule type="cellIs" dxfId="16" priority="34" stopIfTrue="1" operator="greaterThan">
      <formula>0.5</formula>
    </cfRule>
  </conditionalFormatting>
  <conditionalFormatting sqref="J26">
    <cfRule type="cellIs" dxfId="15" priority="5" stopIfTrue="1" operator="lessThan">
      <formula>0.1</formula>
    </cfRule>
  </conditionalFormatting>
  <conditionalFormatting sqref="J29">
    <cfRule type="cellIs" dxfId="14" priority="4" stopIfTrue="1" operator="lessThan">
      <formula>0.5</formula>
    </cfRule>
  </conditionalFormatting>
  <conditionalFormatting sqref="K26">
    <cfRule type="containsText" dxfId="13" priority="2" stopIfTrue="1" operator="containsText" text="El Mínimo debe ser 10%">
      <formula>NOT(ISERROR(SEARCH("El Mínimo debe ser 10%",K26)))</formula>
    </cfRule>
  </conditionalFormatting>
  <conditionalFormatting sqref="K29">
    <cfRule type="containsText" dxfId="12" priority="31" stopIfTrue="1" operator="containsText" text="El Mínimo debe ser 50%">
      <formula>NOT(ISERROR(SEARCH("El Mínimo debe ser 50%",K29)))</formula>
    </cfRule>
  </conditionalFormatting>
  <conditionalFormatting sqref="K17:O17">
    <cfRule type="containsText" dxfId="11" priority="12" operator="containsText" text="Debe ser">
      <formula>NOT(ISERROR(SEARCH("Debe ser",K17)))</formula>
    </cfRule>
  </conditionalFormatting>
  <conditionalFormatting sqref="P17">
    <cfRule type="containsText" dxfId="10" priority="29" operator="containsText" text="50%">
      <formula>NOT(ISERROR(SEARCH("50%",P17)))</formula>
    </cfRule>
  </conditionalFormatting>
  <conditionalFormatting sqref="R12">
    <cfRule type="containsText" dxfId="9" priority="15" stopIfTrue="1" operator="containsText" text="Monto Item Equipamiento OK">
      <formula>NOT(ISERROR(SEARCH("Monto Item Equipamiento OK",R12)))</formula>
    </cfRule>
    <cfRule type="containsText" dxfId="8" priority="17" operator="containsText" text="Excede">
      <formula>NOT(ISERROR(SEARCH("Excede",R12)))</formula>
    </cfRule>
    <cfRule type="containsText" dxfId="7" priority="18" operator="containsText" text="M$50.000">
      <formula>NOT(ISERROR(SEARCH("M$50.000",R12)))</formula>
    </cfRule>
    <cfRule type="containsText" dxfId="6" priority="16" operator="containsText" text="$50.000.000">
      <formula>NOT(ISERROR(SEARCH("$50.000.000",R12)))</formula>
    </cfRule>
  </conditionalFormatting>
  <conditionalFormatting sqref="R14:R15">
    <cfRule type="containsText" dxfId="5" priority="19" operator="containsText" text="$50.000.000">
      <formula>NOT(ISERROR(SEARCH("$50.000.000",R14)))</formula>
    </cfRule>
    <cfRule type="containsText" dxfId="4" priority="20" operator="containsText" text="Excede">
      <formula>NOT(ISERROR(SEARCH("Excede",R14)))</formula>
    </cfRule>
    <cfRule type="containsText" dxfId="3" priority="21" operator="containsText" text="M$50.000">
      <formula>NOT(ISERROR(SEARCH("M$50.000",R14)))</formula>
    </cfRule>
    <cfRule type="containsText" dxfId="2" priority="22" stopIfTrue="1" operator="containsText" text="Monto Item Equipamiento OK">
      <formula>NOT(ISERROR(SEARCH("Monto Item Equipamiento OK",R14)))</formula>
    </cfRule>
  </conditionalFormatting>
  <conditionalFormatting sqref="R12:S13">
    <cfRule type="containsText" dxfId="1" priority="14" stopIfTrue="1" operator="containsText" text="No puede tener">
      <formula>NOT(ISERROR(SEARCH("No puede tener",R12)))</formula>
    </cfRule>
  </conditionalFormatting>
  <conditionalFormatting sqref="R14:S16">
    <cfRule type="containsText" dxfId="0" priority="13" stopIfTrue="1" operator="containsText" text="No puede tener">
      <formula>NOT(ISERROR(SEARCH("No puede tener",R14)))</formula>
    </cfRule>
  </conditionalFormatting>
  <printOptions horizontalCentered="1"/>
  <pageMargins left="0" right="0" top="0.78740157480314965" bottom="0.78740157480314965" header="0" footer="0.59055118110236227"/>
  <pageSetup paperSize="5" scale="70" orientation="landscape" r:id="rId1"/>
  <headerFooter alignWithMargins="0">
    <oddFooter>&amp;L&amp;A - &amp;F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INSTRUCCIONES</vt:lpstr>
      <vt:lpstr>COTIZACIONES</vt:lpstr>
      <vt:lpstr>I.- EQUIPAMIENTO</vt:lpstr>
      <vt:lpstr>II TRASLADOS , INST. OPERACION</vt:lpstr>
      <vt:lpstr>DETALLE APORTES</vt:lpstr>
      <vt:lpstr>III.- PRESUPUESTO FINAL</vt:lpstr>
      <vt:lpstr>DETALLE PRESUPUESTO</vt:lpstr>
      <vt:lpstr>PRESUPUESTO MODIFICADO</vt:lpstr>
      <vt:lpstr>SALDOS </vt:lpstr>
      <vt:lpstr>USO INT. DESGLOSE FACTURAS</vt:lpstr>
      <vt:lpstr>COTIZACIONES!Print_Area</vt:lpstr>
      <vt:lpstr>'DETALLE APORTES'!Print_Area</vt:lpstr>
      <vt:lpstr>'DETALLE PRESUPUESTO'!Print_Area</vt:lpstr>
      <vt:lpstr>'I.- EQUIPAMIENTO'!Print_Area</vt:lpstr>
      <vt:lpstr>'III.- PRESUPUESTO FINAL'!Print_Area</vt:lpstr>
      <vt:lpstr>'PRESUPUESTO MODIFICADO'!Print_Area</vt:lpstr>
      <vt:lpstr>'SALDOS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Álvaro González Miranda</dc:creator>
  <cp:keywords/>
  <dc:description/>
  <cp:lastModifiedBy>Isaac Garcia Carrillo</cp:lastModifiedBy>
  <cp:revision/>
  <dcterms:created xsi:type="dcterms:W3CDTF">2013-06-10T15:33:12Z</dcterms:created>
  <dcterms:modified xsi:type="dcterms:W3CDTF">2025-04-29T10:55:41Z</dcterms:modified>
  <cp:category/>
  <cp:contentStatus/>
</cp:coreProperties>
</file>